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24226"/>
  <bookViews>
    <workbookView xWindow="65416" yWindow="65416" windowWidth="29040" windowHeight="15840" activeTab="0"/>
  </bookViews>
  <sheets>
    <sheet name="NIH Cap" sheetId="1" r:id="rId1"/>
    <sheet name="NIH Cap Table" sheetId="2" r:id="rId2"/>
  </sheets>
  <definedNames>
    <definedName name="Calendar_Year__from_drop_down_list">'NIH Cap Table'!$A$2:$A$13:'NIH Cap'!$B$12</definedName>
    <definedName name="_xlnm.Print_Area" localSheetId="0">'NIH Cap'!$A$4:$J$91</definedName>
  </definedNames>
  <calcPr calcId="191029"/>
  <extLst/>
</workbook>
</file>

<file path=xl/comments1.xml><?xml version="1.0" encoding="utf-8"?>
<comments xmlns="http://schemas.openxmlformats.org/spreadsheetml/2006/main">
  <authors>
    <author>Emily Murphy</author>
    <author>bphelps</author>
    <author>Ashley Lawson</author>
  </authors>
  <commentList>
    <comment ref="D12" authorId="0">
      <text>
        <r>
          <rPr>
            <b/>
            <sz val="9"/>
            <rFont val="Tahoma"/>
            <family val="2"/>
          </rPr>
          <t>Emily Murph: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DO NOT USE</t>
        </r>
      </text>
    </comment>
    <comment ref="B19" authorId="1">
      <text>
        <r>
          <rPr>
            <b/>
            <sz val="8"/>
            <rFont val="Tahoma"/>
            <family val="2"/>
          </rPr>
          <t>Current year cap limit populates when you input calendar year desired</t>
        </r>
      </text>
    </comment>
    <comment ref="D19" authorId="0">
      <text>
        <r>
          <rPr>
            <b/>
            <sz val="9"/>
            <rFont val="Tahoma"/>
            <family val="2"/>
          </rPr>
          <t>Emily Murph: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DO NOT USE</t>
        </r>
      </text>
    </comment>
    <comment ref="C23" authorId="1">
      <text>
        <r>
          <rPr>
            <b/>
            <sz val="8"/>
            <rFont val="Tahoma"/>
            <family val="2"/>
          </rPr>
          <t>current effort that person is working at time of this change, do not consider the NIH overage account % when inputting effort for this column.</t>
        </r>
      </text>
    </comment>
    <comment ref="L85" authorId="2">
      <text>
        <r>
          <rPr>
            <b/>
            <sz val="9"/>
            <rFont val="Tahoma"/>
            <family val="2"/>
          </rPr>
          <t>Ashley Lawson:</t>
        </r>
        <r>
          <rPr>
            <sz val="9"/>
            <rFont val="Tahoma"/>
            <family val="2"/>
          </rPr>
          <t xml:space="preserve">
Effort in cell H25 will automatically round to nearest amount to get to this number. </t>
        </r>
      </text>
    </comment>
  </commentList>
</comments>
</file>

<file path=xl/sharedStrings.xml><?xml version="1.0" encoding="utf-8"?>
<sst xmlns="http://schemas.openxmlformats.org/spreadsheetml/2006/main" count="73" uniqueCount="72">
  <si>
    <t>University of South Alabama</t>
  </si>
  <si>
    <t>College of Medicine</t>
  </si>
  <si>
    <t>Current Date:</t>
  </si>
  <si>
    <t>Name of Employee:</t>
  </si>
  <si>
    <t>Institutional Based Salary:</t>
  </si>
  <si>
    <t>FTE:</t>
  </si>
  <si>
    <t>Salary Adjusted for FTE:</t>
  </si>
  <si>
    <t>NIH Salary Cap Adjusted for FTE:</t>
  </si>
  <si>
    <t>State Fund Number</t>
  </si>
  <si>
    <t>Percentage of Effort</t>
  </si>
  <si>
    <t>Salary Cap Reallocation</t>
  </si>
  <si>
    <t>Non-NIH Fund Number</t>
  </si>
  <si>
    <t>NIH Overage Fund Number</t>
  </si>
  <si>
    <t>Totals</t>
  </si>
  <si>
    <t>Calendar Year</t>
  </si>
  <si>
    <t>Cap</t>
  </si>
  <si>
    <t>?????</t>
  </si>
  <si>
    <r>
      <t>NIH Fund Number (</t>
    </r>
    <r>
      <rPr>
        <b/>
        <i/>
        <sz val="10"/>
        <rFont val="Arial"/>
        <family val="2"/>
      </rPr>
      <t>For column D calendar year</t>
    </r>
    <r>
      <rPr>
        <b/>
        <sz val="10"/>
        <rFont val="Arial"/>
        <family val="2"/>
      </rPr>
      <t xml:space="preserve">) </t>
    </r>
  </si>
  <si>
    <r>
      <t>NIH Fund Number (</t>
    </r>
    <r>
      <rPr>
        <b/>
        <i/>
        <sz val="10"/>
        <rFont val="Arial"/>
        <family val="2"/>
      </rPr>
      <t>For column B calendar year</t>
    </r>
    <r>
      <rPr>
        <b/>
        <sz val="10"/>
        <rFont val="Arial"/>
        <family val="2"/>
      </rPr>
      <t>)</t>
    </r>
  </si>
  <si>
    <t>Salary Amount To PA</t>
  </si>
  <si>
    <t xml:space="preserve">Instructions: Only key cells highlighted in yellow.  The red numbers represent figures to be applied to the NIH overage account 610920. Input </t>
  </si>
  <si>
    <t>Original Allocation</t>
  </si>
  <si>
    <t>Salary Cap Overage</t>
  </si>
  <si>
    <t>Approximate Amount for PA</t>
  </si>
  <si>
    <t xml:space="preserve">Approximate Percentage of Effort </t>
  </si>
  <si>
    <t>Rounded Percentage of Effort To PA</t>
  </si>
  <si>
    <t>CHECK FOR WARNINGS BELOW:</t>
  </si>
  <si>
    <t>Post To PA</t>
  </si>
  <si>
    <t xml:space="preserve">the total NIH overage to the PA using the department's research fund. If the total % in column I does not total to 100%, make a manual </t>
  </si>
  <si>
    <t>Prepared By:</t>
  </si>
  <si>
    <r>
      <t>Calendar Year (</t>
    </r>
    <r>
      <rPr>
        <b/>
        <sz val="10"/>
        <rFont val="Arial"/>
        <family val="2"/>
      </rPr>
      <t>from drop down list</t>
    </r>
    <r>
      <rPr>
        <b/>
        <sz val="11"/>
        <rFont val="Arial"/>
        <family val="2"/>
      </rPr>
      <t>):</t>
    </r>
  </si>
  <si>
    <t>adjustment to cell I46 by adding or subtracting .0001 at the end of the formula. This spreadsheet can be used for multiple year salary cap.</t>
  </si>
  <si>
    <t>at least through March 27, 2013, per NOT-OD-13-018</t>
  </si>
  <si>
    <t>Effective January 12, 2014, Reference NOT-OD-14-043</t>
  </si>
  <si>
    <t xml:space="preserve">Effective January 11, 2015, Reference NOT-OD-15-049 </t>
  </si>
  <si>
    <t xml:space="preserve">Effective January 10, 2016, Reference NOT-OD-16-045 </t>
  </si>
  <si>
    <t>Effective January 08, 2017</t>
  </si>
  <si>
    <t>Effective January 07, 2018, Reference NOT-OD-18-137</t>
  </si>
  <si>
    <t>Effective January 6, 2019, Reference NOT-OD-19-099</t>
  </si>
  <si>
    <t>Effective January 5, 2020, Reference NOT-OD-20-065</t>
  </si>
  <si>
    <t>Effective January 2, 2022, Reference NOT-OD-22-076</t>
  </si>
  <si>
    <t>Effective January 3, 2021, Reference NOT-OD-21-057</t>
  </si>
  <si>
    <t xml:space="preserve">Info for section 4 of PA: </t>
  </si>
  <si>
    <t>Salary</t>
  </si>
  <si>
    <t xml:space="preserve">COM BUDGET THRESHOLDS: </t>
  </si>
  <si>
    <t xml:space="preserve">Color coded directions: </t>
  </si>
  <si>
    <t>Assistant Professor</t>
  </si>
  <si>
    <t xml:space="preserve">Enter the IBS. </t>
  </si>
  <si>
    <t>Associate Professor</t>
  </si>
  <si>
    <t xml:space="preserve">Enter threshold amount </t>
  </si>
  <si>
    <t>Professor</t>
  </si>
  <si>
    <t xml:space="preserve">Enter grant fund Numbers and effort </t>
  </si>
  <si>
    <t>as of 10/01/2021</t>
  </si>
  <si>
    <t xml:space="preserve">Enter COM fund Numbers and effort. </t>
  </si>
  <si>
    <t xml:space="preserve">   If none, clear these cells.</t>
  </si>
  <si>
    <t>Make sure total is at 100%.</t>
  </si>
  <si>
    <t>State efforts are auto-calculated for you.</t>
  </si>
  <si>
    <t>Send ALL PA's with fund 114000 effort changes to Theresa McLaughlin tbmclaughlin@health.southalabama.edu.</t>
  </si>
  <si>
    <t xml:space="preserve">DOLLAR CHECKS: </t>
  </si>
  <si>
    <t xml:space="preserve">EFFORT CHECKS: </t>
  </si>
  <si>
    <t xml:space="preserve">   Threshold: </t>
  </si>
  <si>
    <t>Effort for 112000</t>
  </si>
  <si>
    <t xml:space="preserve">   Total grants: </t>
  </si>
  <si>
    <t>Effort for 114000</t>
  </si>
  <si>
    <t>Amount on 112000 fund</t>
  </si>
  <si>
    <t xml:space="preserve">   If applicable, Salary minus grants, COM funds, and 112000: </t>
  </si>
  <si>
    <t>Amount on 114000 fund</t>
  </si>
  <si>
    <t>Revised 10/01/2021 (AL)</t>
  </si>
  <si>
    <t>MCI Effort Worksheet</t>
  </si>
  <si>
    <t>NIH Salary Cap Template &amp; MCI Effort Worksheet</t>
  </si>
  <si>
    <t>Effective January 1, 2022, Reference NOT-HS-23-005</t>
  </si>
  <si>
    <t>Effective January 1, 2024, Reference NOT-OD-24-039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</si>
</sst>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"/>
    <numFmt numFmtId="166" formatCode="&quot;$&quot;#,##0.00"/>
    <numFmt numFmtId="167" formatCode="&quot;$&quot;#,##0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5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4999699890613556"/>
      <name val="Arial"/>
      <family val="2"/>
    </font>
    <font>
      <sz val="10"/>
      <color rgb="FF333333"/>
      <name val="Helvetica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theme="4" tint="-0.2499700039625167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BDB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3">
    <xf numFmtId="0" fontId="0" fillId="0" borderId="0" xfId="0"/>
    <xf numFmtId="10" fontId="0" fillId="0" borderId="0" xfId="0" applyNumberFormat="1"/>
    <xf numFmtId="0" fontId="2" fillId="0" borderId="0" xfId="0" applyNumberFormat="1" applyFont="1"/>
    <xf numFmtId="10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 quotePrefix="1">
      <alignment horizontal="left"/>
      <protection/>
    </xf>
    <xf numFmtId="43" fontId="3" fillId="0" borderId="0" xfId="0" applyNumberFormat="1" applyFont="1" applyAlignment="1" applyProtection="1" quotePrefix="1">
      <alignment horizontal="left"/>
      <protection/>
    </xf>
    <xf numFmtId="49" fontId="3" fillId="0" borderId="0" xfId="0" applyNumberFormat="1" applyFont="1" applyProtection="1">
      <protection/>
    </xf>
    <xf numFmtId="0" fontId="3" fillId="0" borderId="0" xfId="0" applyFont="1" applyProtection="1">
      <protection/>
    </xf>
    <xf numFmtId="2" fontId="3" fillId="0" borderId="0" xfId="0" applyNumberFormat="1" applyFont="1" applyProtection="1">
      <protection/>
    </xf>
    <xf numFmtId="39" fontId="0" fillId="0" borderId="10" xfId="16" applyNumberFormat="1" applyFont="1" applyFill="1" applyBorder="1" applyProtection="1">
      <protection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Protection="1">
      <protection/>
    </xf>
    <xf numFmtId="44" fontId="0" fillId="0" borderId="10" xfId="16" applyFont="1" applyFill="1" applyBorder="1" applyProtection="1">
      <protection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9" fontId="0" fillId="0" borderId="10" xfId="18" applyNumberFormat="1" applyFont="1" applyFill="1" applyBorder="1"/>
    <xf numFmtId="39" fontId="0" fillId="0" borderId="10" xfId="0" applyNumberFormat="1" applyFill="1" applyBorder="1" applyProtection="1">
      <protection/>
    </xf>
    <xf numFmtId="164" fontId="0" fillId="0" borderId="10" xfId="15" applyNumberFormat="1" applyFont="1" applyBorder="1" applyProtection="1">
      <protection/>
    </xf>
    <xf numFmtId="39" fontId="0" fillId="0" borderId="12" xfId="0" applyNumberFormat="1" applyFill="1" applyBorder="1" applyProtection="1">
      <protection/>
    </xf>
    <xf numFmtId="164" fontId="0" fillId="0" borderId="12" xfId="15" applyNumberFormat="1" applyFont="1" applyBorder="1" applyProtection="1">
      <protection/>
    </xf>
    <xf numFmtId="39" fontId="0" fillId="0" borderId="10" xfId="18" applyNumberFormat="1" applyFont="1" applyFill="1" applyBorder="1"/>
    <xf numFmtId="39" fontId="7" fillId="0" borderId="10" xfId="18" applyNumberFormat="1" applyFont="1" applyBorder="1"/>
    <xf numFmtId="39" fontId="3" fillId="0" borderId="10" xfId="18" applyNumberFormat="1" applyFont="1" applyBorder="1"/>
    <xf numFmtId="39" fontId="0" fillId="0" borderId="13" xfId="18" applyNumberFormat="1" applyFont="1" applyFill="1" applyBorder="1" applyAlignment="1">
      <alignment/>
    </xf>
    <xf numFmtId="39" fontId="0" fillId="0" borderId="13" xfId="18" applyNumberFormat="1" applyFont="1" applyFill="1" applyBorder="1" applyProtection="1">
      <protection/>
    </xf>
    <xf numFmtId="164" fontId="0" fillId="0" borderId="13" xfId="15" applyNumberFormat="1" applyFont="1" applyBorder="1" applyProtection="1">
      <protection/>
    </xf>
    <xf numFmtId="39" fontId="0" fillId="0" borderId="10" xfId="18" applyNumberFormat="1" applyFont="1" applyFill="1" applyBorder="1" applyAlignment="1">
      <alignment/>
    </xf>
    <xf numFmtId="39" fontId="0" fillId="0" borderId="10" xfId="18" applyNumberFormat="1" applyFont="1" applyFill="1" applyBorder="1" applyProtection="1">
      <protection/>
    </xf>
    <xf numFmtId="164" fontId="3" fillId="0" borderId="10" xfId="15" applyNumberFormat="1" applyFont="1" applyBorder="1" applyProtection="1">
      <protection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center"/>
    </xf>
    <xf numFmtId="39" fontId="0" fillId="0" borderId="0" xfId="0" applyNumberFormat="1"/>
    <xf numFmtId="39" fontId="0" fillId="0" borderId="14" xfId="0" applyNumberFormat="1" applyBorder="1"/>
    <xf numFmtId="39" fontId="0" fillId="0" borderId="15" xfId="0" applyNumberFormat="1" applyBorder="1"/>
    <xf numFmtId="39" fontId="0" fillId="0" borderId="16" xfId="0" applyNumberFormat="1" applyBorder="1"/>
    <xf numFmtId="14" fontId="0" fillId="0" borderId="10" xfId="0" applyNumberFormat="1" applyFont="1" applyFill="1" applyBorder="1" applyProtection="1">
      <protection/>
    </xf>
    <xf numFmtId="0" fontId="0" fillId="0" borderId="17" xfId="0" applyBorder="1"/>
    <xf numFmtId="0" fontId="32" fillId="24" borderId="18" xfId="0" applyNumberFormat="1" applyFont="1" applyFill="1" applyBorder="1"/>
    <xf numFmtId="0" fontId="32" fillId="24" borderId="19" xfId="0" applyFont="1" applyFill="1" applyBorder="1"/>
    <xf numFmtId="10" fontId="32" fillId="24" borderId="19" xfId="0" applyNumberFormat="1" applyFont="1" applyFill="1" applyBorder="1"/>
    <xf numFmtId="0" fontId="32" fillId="24" borderId="20" xfId="0" applyNumberFormat="1" applyFont="1" applyFill="1" applyBorder="1" applyAlignment="1">
      <alignment horizontal="left"/>
    </xf>
    <xf numFmtId="0" fontId="32" fillId="24" borderId="0" xfId="0" applyFont="1" applyFill="1" applyBorder="1"/>
    <xf numFmtId="10" fontId="32" fillId="24" borderId="0" xfId="0" applyNumberFormat="1" applyFont="1" applyFill="1" applyBorder="1"/>
    <xf numFmtId="0" fontId="32" fillId="24" borderId="17" xfId="0" applyFont="1" applyFill="1" applyBorder="1"/>
    <xf numFmtId="0" fontId="32" fillId="24" borderId="14" xfId="0" applyFont="1" applyFill="1" applyBorder="1"/>
    <xf numFmtId="0" fontId="32" fillId="24" borderId="15" xfId="0" applyFont="1" applyFill="1" applyBorder="1"/>
    <xf numFmtId="0" fontId="32" fillId="24" borderId="21" xfId="0" applyNumberFormat="1" applyFont="1" applyFill="1" applyBorder="1" applyAlignment="1">
      <alignment horizontal="left"/>
    </xf>
    <xf numFmtId="0" fontId="0" fillId="25" borderId="10" xfId="0" applyNumberFormat="1" applyFont="1" applyFill="1" applyBorder="1" applyProtection="1">
      <protection locked="0"/>
    </xf>
    <xf numFmtId="44" fontId="0" fillId="25" borderId="10" xfId="16" applyFont="1" applyFill="1" applyBorder="1" applyProtection="1">
      <protection locked="0"/>
    </xf>
    <xf numFmtId="0" fontId="0" fillId="25" borderId="10" xfId="18" applyNumberFormat="1" applyFont="1" applyFill="1" applyBorder="1" applyAlignment="1" applyProtection="1">
      <alignment horizontal="center"/>
      <protection locked="0"/>
    </xf>
    <xf numFmtId="0" fontId="0" fillId="25" borderId="10" xfId="18" applyNumberFormat="1" applyFont="1" applyFill="1" applyBorder="1" applyAlignment="1" applyProtection="1" quotePrefix="1">
      <alignment horizontal="center"/>
      <protection locked="0"/>
    </xf>
    <xf numFmtId="10" fontId="0" fillId="25" borderId="10" xfId="15" applyNumberFormat="1" applyFont="1" applyFill="1" applyBorder="1" applyProtection="1">
      <protection locked="0"/>
    </xf>
    <xf numFmtId="10" fontId="0" fillId="25" borderId="12" xfId="15" applyNumberFormat="1" applyFont="1" applyFill="1" applyBorder="1" applyProtection="1">
      <protection locked="0"/>
    </xf>
    <xf numFmtId="10" fontId="0" fillId="25" borderId="13" xfId="15" applyNumberFormat="1" applyFont="1" applyFill="1" applyBorder="1" applyAlignment="1" applyProtection="1">
      <alignment/>
      <protection locked="0"/>
    </xf>
    <xf numFmtId="10" fontId="0" fillId="25" borderId="10" xfId="15" applyNumberFormat="1" applyFont="1" applyFill="1" applyBorder="1" applyAlignment="1" applyProtection="1">
      <alignment/>
      <protection locked="0"/>
    </xf>
    <xf numFmtId="0" fontId="2" fillId="26" borderId="10" xfId="18" applyNumberFormat="1" applyFont="1" applyFill="1" applyBorder="1" applyAlignment="1" applyProtection="1">
      <alignment horizontal="left"/>
      <protection/>
    </xf>
    <xf numFmtId="10" fontId="2" fillId="26" borderId="10" xfId="0" applyNumberFormat="1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/>
    </xf>
    <xf numFmtId="164" fontId="0" fillId="26" borderId="10" xfId="0" applyNumberFormat="1" applyFill="1" applyBorder="1" applyAlignment="1">
      <alignment/>
    </xf>
    <xf numFmtId="43" fontId="0" fillId="26" borderId="10" xfId="18" applyFont="1" applyFill="1" applyBorder="1" applyAlignment="1">
      <alignment/>
    </xf>
    <xf numFmtId="43" fontId="0" fillId="26" borderId="10" xfId="18" applyFont="1" applyFill="1" applyBorder="1" applyAlignment="1" applyProtection="1">
      <alignment/>
      <protection/>
    </xf>
    <xf numFmtId="0" fontId="2" fillId="26" borderId="0" xfId="18" applyNumberFormat="1" applyFont="1" applyFill="1" applyProtection="1">
      <protection/>
    </xf>
    <xf numFmtId="39" fontId="0" fillId="26" borderId="10" xfId="18" applyNumberFormat="1" applyFont="1" applyFill="1" applyBorder="1" applyAlignment="1" applyProtection="1">
      <alignment/>
      <protection/>
    </xf>
    <xf numFmtId="10" fontId="0" fillId="26" borderId="10" xfId="15" applyNumberFormat="1" applyFont="1" applyFill="1" applyBorder="1" applyAlignment="1" applyProtection="1">
      <alignment/>
      <protection/>
    </xf>
    <xf numFmtId="43" fontId="7" fillId="26" borderId="10" xfId="18" applyFont="1" applyFill="1" applyBorder="1" applyAlignment="1" applyProtection="1">
      <alignment/>
      <protection/>
    </xf>
    <xf numFmtId="0" fontId="0" fillId="26" borderId="10" xfId="0" applyFill="1" applyBorder="1" applyAlignment="1" applyProtection="1">
      <alignment/>
      <protection/>
    </xf>
    <xf numFmtId="39" fontId="0" fillId="26" borderId="22" xfId="0" applyNumberFormat="1" applyFill="1" applyBorder="1" applyProtection="1">
      <protection/>
    </xf>
    <xf numFmtId="164" fontId="0" fillId="26" borderId="10" xfId="15" applyNumberFormat="1" applyFont="1" applyFill="1" applyBorder="1" applyProtection="1">
      <protection/>
    </xf>
    <xf numFmtId="43" fontId="7" fillId="26" borderId="10" xfId="18" applyFont="1" applyFill="1" applyBorder="1" applyAlignment="1">
      <alignment/>
    </xf>
    <xf numFmtId="10" fontId="2" fillId="27" borderId="23" xfId="0" applyNumberFormat="1" applyFont="1" applyFill="1" applyBorder="1" applyAlignment="1">
      <alignment horizontal="center" wrapText="1"/>
    </xf>
    <xf numFmtId="164" fontId="0" fillId="27" borderId="24" xfId="15" applyNumberFormat="1" applyFont="1" applyFill="1" applyBorder="1" applyProtection="1">
      <protection/>
    </xf>
    <xf numFmtId="164" fontId="0" fillId="27" borderId="24" xfId="0" applyNumberFormat="1" applyFill="1" applyBorder="1" applyAlignment="1">
      <alignment/>
    </xf>
    <xf numFmtId="164" fontId="3" fillId="27" borderId="24" xfId="15" applyNumberFormat="1" applyFont="1" applyFill="1" applyBorder="1" applyProtection="1">
      <protection/>
    </xf>
    <xf numFmtId="164" fontId="0" fillId="27" borderId="25" xfId="15" applyNumberFormat="1" applyFont="1" applyFill="1" applyBorder="1" applyProtection="1">
      <protection/>
    </xf>
    <xf numFmtId="10" fontId="2" fillId="26" borderId="26" xfId="0" applyNumberFormat="1" applyFont="1" applyFill="1" applyBorder="1" applyAlignment="1">
      <alignment horizontal="center" wrapText="1"/>
    </xf>
    <xf numFmtId="10" fontId="2" fillId="26" borderId="27" xfId="0" applyNumberFormat="1" applyFont="1" applyFill="1" applyBorder="1" applyAlignment="1">
      <alignment horizontal="center" wrapText="1"/>
    </xf>
    <xf numFmtId="39" fontId="2" fillId="0" borderId="28" xfId="0" applyNumberFormat="1" applyFont="1" applyFill="1" applyBorder="1"/>
    <xf numFmtId="39" fontId="2" fillId="26" borderId="28" xfId="0" applyNumberFormat="1" applyFont="1" applyFill="1" applyBorder="1"/>
    <xf numFmtId="10" fontId="2" fillId="26" borderId="29" xfId="0" applyNumberFormat="1" applyFont="1" applyFill="1" applyBorder="1"/>
    <xf numFmtId="39" fontId="2" fillId="26" borderId="30" xfId="0" applyNumberFormat="1" applyFont="1" applyFill="1" applyBorder="1"/>
    <xf numFmtId="0" fontId="2" fillId="26" borderId="31" xfId="18" applyNumberFormat="1" applyFont="1" applyFill="1" applyBorder="1" applyAlignment="1" applyProtection="1">
      <alignment horizontal="left"/>
      <protection/>
    </xf>
    <xf numFmtId="0" fontId="0" fillId="26" borderId="32" xfId="0" applyFill="1" applyBorder="1" applyAlignment="1">
      <alignment/>
    </xf>
    <xf numFmtId="164" fontId="0" fillId="26" borderId="22" xfId="0" applyNumberFormat="1" applyFill="1" applyBorder="1" applyAlignment="1">
      <alignment/>
    </xf>
    <xf numFmtId="0" fontId="8" fillId="26" borderId="31" xfId="18" applyNumberFormat="1" applyFont="1" applyFill="1" applyBorder="1" applyAlignment="1" applyProtection="1">
      <alignment horizontal="left"/>
      <protection/>
    </xf>
    <xf numFmtId="43" fontId="0" fillId="26" borderId="22" xfId="18" applyFont="1" applyFill="1" applyBorder="1" applyAlignment="1">
      <alignment/>
    </xf>
    <xf numFmtId="0" fontId="33" fillId="0" borderId="0" xfId="0" applyFont="1" applyBorder="1"/>
    <xf numFmtId="10" fontId="0" fillId="0" borderId="0" xfId="0" applyNumberFormat="1" applyBorder="1"/>
    <xf numFmtId="0" fontId="33" fillId="0" borderId="19" xfId="0" applyFont="1" applyBorder="1"/>
    <xf numFmtId="39" fontId="0" fillId="0" borderId="0" xfId="0" applyNumberFormat="1" applyBorder="1"/>
    <xf numFmtId="0" fontId="2" fillId="0" borderId="0" xfId="18" applyNumberFormat="1" applyFont="1" applyFill="1" applyProtection="1">
      <protection/>
    </xf>
    <xf numFmtId="39" fontId="0" fillId="0" borderId="0" xfId="18" applyNumberFormat="1" applyFont="1" applyFill="1" applyBorder="1" applyAlignment="1" applyProtection="1">
      <alignment/>
      <protection/>
    </xf>
    <xf numFmtId="10" fontId="0" fillId="0" borderId="0" xfId="15" applyNumberFormat="1" applyFont="1" applyFill="1" applyBorder="1" applyAlignment="1" applyProtection="1">
      <alignment/>
      <protection/>
    </xf>
    <xf numFmtId="43" fontId="7" fillId="0" borderId="0" xfId="18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9" fontId="0" fillId="0" borderId="0" xfId="0" applyNumberFormat="1" applyFill="1" applyBorder="1" applyProtection="1">
      <protection/>
    </xf>
    <xf numFmtId="164" fontId="0" fillId="0" borderId="0" xfId="15" applyNumberFormat="1" applyFont="1" applyFill="1" applyBorder="1" applyProtection="1">
      <protection/>
    </xf>
    <xf numFmtId="10" fontId="2" fillId="0" borderId="0" xfId="0" applyNumberFormat="1" applyFont="1" applyFill="1" applyBorder="1"/>
    <xf numFmtId="39" fontId="2" fillId="0" borderId="0" xfId="0" applyNumberFormat="1" applyFont="1" applyFill="1" applyBorder="1"/>
    <xf numFmtId="10" fontId="2" fillId="0" borderId="19" xfId="0" applyNumberFormat="1" applyFont="1" applyFill="1" applyBorder="1"/>
    <xf numFmtId="39" fontId="2" fillId="0" borderId="19" xfId="0" applyNumberFormat="1" applyFont="1" applyFill="1" applyBorder="1"/>
    <xf numFmtId="0" fontId="0" fillId="0" borderId="18" xfId="0" applyBorder="1"/>
    <xf numFmtId="164" fontId="0" fillId="0" borderId="19" xfId="0" applyNumberFormat="1" applyBorder="1"/>
    <xf numFmtId="0" fontId="0" fillId="0" borderId="20" xfId="0" applyBorder="1"/>
    <xf numFmtId="164" fontId="0" fillId="0" borderId="0" xfId="0" applyNumberFormat="1" applyBorder="1"/>
    <xf numFmtId="0" fontId="0" fillId="0" borderId="21" xfId="0" applyBorder="1"/>
    <xf numFmtId="164" fontId="0" fillId="0" borderId="17" xfId="0" applyNumberFormat="1" applyBorder="1"/>
    <xf numFmtId="0" fontId="34" fillId="0" borderId="0" xfId="18" applyNumberFormat="1" applyFont="1" applyFill="1" applyProtection="1">
      <protection/>
    </xf>
    <xf numFmtId="0" fontId="33" fillId="0" borderId="17" xfId="0" applyFont="1" applyBorder="1"/>
    <xf numFmtId="10" fontId="2" fillId="0" borderId="33" xfId="0" applyNumberFormat="1" applyFont="1" applyFill="1" applyBorder="1" applyProtection="1">
      <protection/>
    </xf>
    <xf numFmtId="10" fontId="2" fillId="26" borderId="33" xfId="0" applyNumberFormat="1" applyFont="1" applyFill="1" applyBorder="1" applyProtection="1">
      <protection/>
    </xf>
    <xf numFmtId="0" fontId="35" fillId="24" borderId="17" xfId="0" applyFont="1" applyFill="1" applyBorder="1"/>
    <xf numFmtId="0" fontId="35" fillId="24" borderId="16" xfId="0" applyFont="1" applyFill="1" applyBorder="1"/>
    <xf numFmtId="10" fontId="0" fillId="0" borderId="0" xfId="0" applyNumberFormat="1" applyFont="1" applyProtection="1">
      <protection/>
    </xf>
    <xf numFmtId="10" fontId="2" fillId="0" borderId="0" xfId="0" applyNumberFormat="1" applyFont="1" applyBorder="1" applyAlignment="1" applyProtection="1">
      <alignment horizontal="center" wrapText="1"/>
      <protection/>
    </xf>
    <xf numFmtId="10" fontId="2" fillId="0" borderId="11" xfId="0" applyNumberFormat="1" applyFont="1" applyBorder="1" applyAlignment="1" applyProtection="1">
      <alignment horizontal="center" wrapText="1"/>
      <protection/>
    </xf>
    <xf numFmtId="0" fontId="0" fillId="0" borderId="32" xfId="0" applyFont="1" applyFill="1" applyBorder="1" applyProtection="1">
      <protection/>
    </xf>
    <xf numFmtId="0" fontId="0" fillId="0" borderId="0" xfId="0" applyNumberFormat="1" applyFill="1" applyBorder="1" applyProtection="1">
      <protection/>
    </xf>
    <xf numFmtId="0" fontId="0" fillId="26" borderId="32" xfId="0" applyFill="1" applyBorder="1" applyAlignment="1" applyProtection="1">
      <alignment/>
      <protection/>
    </xf>
    <xf numFmtId="0" fontId="27" fillId="0" borderId="0" xfId="0" applyNumberFormat="1" applyFont="1" applyProtection="1">
      <protection/>
    </xf>
    <xf numFmtId="0" fontId="27" fillId="0" borderId="0" xfId="0" applyNumberFormat="1" applyFont="1" applyAlignment="1">
      <alignment horizontal="left"/>
    </xf>
    <xf numFmtId="0" fontId="27" fillId="0" borderId="0" xfId="0" applyNumberFormat="1" applyFont="1" applyAlignment="1" quotePrefix="1">
      <alignment horizontal="left"/>
    </xf>
    <xf numFmtId="0" fontId="27" fillId="0" borderId="0" xfId="0" applyNumberFormat="1" applyFont="1"/>
    <xf numFmtId="0" fontId="29" fillId="0" borderId="0" xfId="0" applyNumberFormat="1" applyFont="1"/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3" fillId="28" borderId="10" xfId="0" applyNumberFormat="1" applyFont="1" applyFill="1" applyBorder="1" applyProtection="1">
      <protection locked="0"/>
    </xf>
    <xf numFmtId="44" fontId="33" fillId="28" borderId="10" xfId="16" applyFont="1" applyFill="1" applyBorder="1" applyProtection="1">
      <protection/>
    </xf>
    <xf numFmtId="165" fontId="0" fillId="25" borderId="10" xfId="15" applyNumberFormat="1" applyFont="1" applyFill="1" applyBorder="1" applyProtection="1">
      <protection locked="0"/>
    </xf>
    <xf numFmtId="0" fontId="33" fillId="28" borderId="10" xfId="18" applyNumberFormat="1" applyFont="1" applyFill="1" applyBorder="1" applyAlignment="1" applyProtection="1">
      <alignment horizontal="center"/>
      <protection locked="0"/>
    </xf>
    <xf numFmtId="39" fontId="33" fillId="28" borderId="10" xfId="18" applyNumberFormat="1" applyFont="1" applyFill="1" applyBorder="1"/>
    <xf numFmtId="10" fontId="33" fillId="28" borderId="10" xfId="15" applyNumberFormat="1" applyFont="1" applyFill="1" applyBorder="1" applyProtection="1">
      <protection locked="0"/>
    </xf>
    <xf numFmtId="39" fontId="33" fillId="28" borderId="10" xfId="0" applyNumberFormat="1" applyFont="1" applyFill="1" applyBorder="1" applyProtection="1">
      <protection/>
    </xf>
    <xf numFmtId="164" fontId="33" fillId="28" borderId="10" xfId="15" applyNumberFormat="1" applyFont="1" applyFill="1" applyBorder="1" applyProtection="1">
      <protection/>
    </xf>
    <xf numFmtId="164" fontId="33" fillId="28" borderId="24" xfId="15" applyNumberFormat="1" applyFont="1" applyFill="1" applyBorder="1" applyProtection="1">
      <protection/>
    </xf>
    <xf numFmtId="10" fontId="34" fillId="28" borderId="33" xfId="0" applyNumberFormat="1" applyFont="1" applyFill="1" applyBorder="1" applyProtection="1">
      <protection/>
    </xf>
    <xf numFmtId="39" fontId="34" fillId="28" borderId="28" xfId="0" applyNumberFormat="1" applyFont="1" applyFill="1" applyBorder="1"/>
    <xf numFmtId="0" fontId="0" fillId="0" borderId="0" xfId="0" applyFont="1" applyAlignment="1">
      <alignment horizontal="left"/>
    </xf>
    <xf numFmtId="0" fontId="27" fillId="0" borderId="0" xfId="0" applyNumberFormat="1" applyFont="1" applyAlignment="1">
      <alignment wrapText="1"/>
    </xf>
    <xf numFmtId="0" fontId="1" fillId="29" borderId="19" xfId="0" applyNumberFormat="1" applyFont="1" applyFill="1" applyBorder="1" applyAlignment="1">
      <alignment horizontal="center"/>
    </xf>
    <xf numFmtId="0" fontId="1" fillId="29" borderId="0" xfId="0" applyNumberFormat="1" applyFont="1" applyFill="1" applyBorder="1" applyAlignment="1">
      <alignment horizontal="center"/>
    </xf>
    <xf numFmtId="0" fontId="1" fillId="29" borderId="17" xfId="0" applyNumberFormat="1" applyFont="1" applyFill="1" applyBorder="1" applyAlignment="1">
      <alignment horizontal="center"/>
    </xf>
    <xf numFmtId="0" fontId="2" fillId="26" borderId="34" xfId="0" applyFont="1" applyFill="1" applyBorder="1" applyAlignment="1">
      <alignment horizontal="center"/>
    </xf>
    <xf numFmtId="0" fontId="1" fillId="29" borderId="18" xfId="0" applyNumberFormat="1" applyFont="1" applyFill="1" applyBorder="1" applyAlignment="1">
      <alignment/>
    </xf>
    <xf numFmtId="0" fontId="1" fillId="29" borderId="19" xfId="0" applyNumberFormat="1" applyFont="1" applyFill="1" applyBorder="1" applyAlignment="1">
      <alignment/>
    </xf>
    <xf numFmtId="0" fontId="1" fillId="29" borderId="14" xfId="0" applyNumberFormat="1" applyFont="1" applyFill="1" applyBorder="1" applyAlignment="1">
      <alignment/>
    </xf>
    <xf numFmtId="0" fontId="1" fillId="29" borderId="20" xfId="0" applyNumberFormat="1" applyFont="1" applyFill="1" applyBorder="1" applyAlignment="1">
      <alignment/>
    </xf>
    <xf numFmtId="0" fontId="1" fillId="29" borderId="0" xfId="0" applyNumberFormat="1" applyFont="1" applyFill="1" applyBorder="1" applyAlignment="1">
      <alignment/>
    </xf>
    <xf numFmtId="0" fontId="1" fillId="29" borderId="15" xfId="0" applyNumberFormat="1" applyFont="1" applyFill="1" applyBorder="1" applyAlignment="1">
      <alignment/>
    </xf>
    <xf numFmtId="0" fontId="1" fillId="29" borderId="21" xfId="0" applyNumberFormat="1" applyFont="1" applyFill="1" applyBorder="1" applyAlignment="1">
      <alignment/>
    </xf>
    <xf numFmtId="0" fontId="1" fillId="29" borderId="17" xfId="0" applyNumberFormat="1" applyFont="1" applyFill="1" applyBorder="1" applyAlignment="1">
      <alignment/>
    </xf>
    <xf numFmtId="0" fontId="1" fillId="29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29" borderId="19" xfId="0" applyFill="1" applyBorder="1"/>
    <xf numFmtId="0" fontId="0" fillId="29" borderId="0" xfId="0" applyFill="1" applyBorder="1"/>
    <xf numFmtId="0" fontId="0" fillId="29" borderId="17" xfId="0" applyFill="1" applyBorder="1"/>
    <xf numFmtId="0" fontId="0" fillId="0" borderId="0" xfId="0" applyFont="1" applyProtection="1">
      <protection/>
    </xf>
    <xf numFmtId="0" fontId="36" fillId="0" borderId="0" xfId="0" applyFont="1"/>
    <xf numFmtId="0" fontId="0" fillId="0" borderId="0" xfId="0" applyProtection="1">
      <protection locked="0"/>
    </xf>
    <xf numFmtId="166" fontId="0" fillId="0" borderId="0" xfId="0" applyNumberFormat="1"/>
    <xf numFmtId="166" fontId="0" fillId="30" borderId="10" xfId="0" applyNumberFormat="1" applyFill="1" applyBorder="1" applyProtection="1">
      <protection locked="0"/>
    </xf>
    <xf numFmtId="166" fontId="37" fillId="0" borderId="0" xfId="0" applyNumberFormat="1" applyFont="1"/>
    <xf numFmtId="0" fontId="0" fillId="31" borderId="23" xfId="0" applyFill="1" applyBorder="1"/>
    <xf numFmtId="0" fontId="0" fillId="31" borderId="35" xfId="0" applyFill="1" applyBorder="1"/>
    <xf numFmtId="0" fontId="0" fillId="31" borderId="36" xfId="0" applyFill="1" applyBorder="1"/>
    <xf numFmtId="0" fontId="0" fillId="32" borderId="10" xfId="18" applyNumberFormat="1" applyFont="1" applyFill="1" applyBorder="1" applyAlignment="1" applyProtection="1">
      <alignment horizontal="center"/>
      <protection locked="0"/>
    </xf>
    <xf numFmtId="10" fontId="0" fillId="32" borderId="10" xfId="15" applyNumberFormat="1" applyFont="1" applyFill="1" applyBorder="1" applyProtection="1">
      <protection locked="0"/>
    </xf>
    <xf numFmtId="167" fontId="0" fillId="31" borderId="24" xfId="0" applyNumberFormat="1" applyFill="1" applyBorder="1"/>
    <xf numFmtId="0" fontId="0" fillId="31" borderId="0" xfId="0" applyFill="1"/>
    <xf numFmtId="0" fontId="0" fillId="31" borderId="37" xfId="0" applyFill="1" applyBorder="1"/>
    <xf numFmtId="10" fontId="0" fillId="0" borderId="0" xfId="15" applyNumberFormat="1" applyFont="1" applyFill="1" applyProtection="1">
      <protection/>
    </xf>
    <xf numFmtId="0" fontId="0" fillId="33" borderId="31" xfId="0" applyFill="1" applyBorder="1" applyAlignment="1">
      <alignment horizontal="center"/>
    </xf>
    <xf numFmtId="0" fontId="38" fillId="33" borderId="32" xfId="0" applyFont="1" applyFill="1" applyBorder="1"/>
    <xf numFmtId="0" fontId="0" fillId="33" borderId="32" xfId="0" applyFill="1" applyBorder="1"/>
    <xf numFmtId="0" fontId="0" fillId="33" borderId="22" xfId="0" applyFill="1" applyBorder="1"/>
    <xf numFmtId="0" fontId="38" fillId="30" borderId="31" xfId="0" applyFont="1" applyFill="1" applyBorder="1" applyAlignment="1">
      <alignment horizontal="center"/>
    </xf>
    <xf numFmtId="0" fontId="38" fillId="30" borderId="32" xfId="0" applyFont="1" applyFill="1" applyBorder="1"/>
    <xf numFmtId="0" fontId="0" fillId="30" borderId="32" xfId="0" applyFill="1" applyBorder="1"/>
    <xf numFmtId="0" fontId="0" fillId="30" borderId="22" xfId="0" applyFill="1" applyBorder="1"/>
    <xf numFmtId="167" fontId="0" fillId="31" borderId="25" xfId="16" applyNumberFormat="1" applyFont="1" applyFill="1" applyBorder="1" applyProtection="1">
      <protection/>
    </xf>
    <xf numFmtId="0" fontId="0" fillId="31" borderId="11" xfId="0" applyFill="1" applyBorder="1"/>
    <xf numFmtId="0" fontId="0" fillId="31" borderId="38" xfId="0" applyFill="1" applyBorder="1"/>
    <xf numFmtId="0" fontId="38" fillId="32" borderId="31" xfId="0" applyFont="1" applyFill="1" applyBorder="1" applyAlignment="1">
      <alignment horizontal="center"/>
    </xf>
    <xf numFmtId="0" fontId="38" fillId="32" borderId="32" xfId="0" applyFont="1" applyFill="1" applyBorder="1"/>
    <xf numFmtId="0" fontId="0" fillId="32" borderId="32" xfId="0" applyFill="1" applyBorder="1"/>
    <xf numFmtId="0" fontId="0" fillId="32" borderId="22" xfId="0" applyFill="1" applyBorder="1"/>
    <xf numFmtId="0" fontId="39" fillId="0" borderId="0" xfId="0" applyFont="1" applyAlignment="1">
      <alignment horizontal="right"/>
    </xf>
    <xf numFmtId="0" fontId="38" fillId="34" borderId="23" xfId="0" applyFont="1" applyFill="1" applyBorder="1" applyAlignment="1">
      <alignment horizontal="center"/>
    </xf>
    <xf numFmtId="0" fontId="38" fillId="34" borderId="35" xfId="0" applyFont="1" applyFill="1" applyBorder="1"/>
    <xf numFmtId="0" fontId="0" fillId="34" borderId="35" xfId="0" applyFill="1" applyBorder="1"/>
    <xf numFmtId="0" fontId="0" fillId="34" borderId="36" xfId="0" applyFill="1" applyBorder="1"/>
    <xf numFmtId="0" fontId="38" fillId="34" borderId="25" xfId="0" applyFont="1" applyFill="1" applyBorder="1" applyAlignment="1">
      <alignment horizontal="center"/>
    </xf>
    <xf numFmtId="0" fontId="38" fillId="34" borderId="11" xfId="0" applyFont="1" applyFill="1" applyBorder="1"/>
    <xf numFmtId="0" fontId="0" fillId="34" borderId="11" xfId="0" applyFill="1" applyBorder="1"/>
    <xf numFmtId="0" fontId="0" fillId="34" borderId="38" xfId="0" applyFill="1" applyBorder="1"/>
    <xf numFmtId="0" fontId="0" fillId="35" borderId="31" xfId="0" applyFill="1" applyBorder="1" applyAlignment="1">
      <alignment horizontal="center"/>
    </xf>
    <xf numFmtId="0" fontId="0" fillId="35" borderId="32" xfId="0" applyFill="1" applyBorder="1"/>
    <xf numFmtId="0" fontId="0" fillId="35" borderId="22" xfId="0" applyFill="1" applyBorder="1"/>
    <xf numFmtId="167" fontId="0" fillId="0" borderId="0" xfId="0" applyNumberFormat="1"/>
    <xf numFmtId="0" fontId="0" fillId="29" borderId="31" xfId="0" applyFill="1" applyBorder="1" applyAlignment="1">
      <alignment horizontal="center"/>
    </xf>
    <xf numFmtId="0" fontId="0" fillId="29" borderId="32" xfId="0" applyFill="1" applyBorder="1"/>
    <xf numFmtId="0" fontId="0" fillId="29" borderId="22" xfId="0" applyFill="1" applyBorder="1"/>
    <xf numFmtId="0" fontId="0" fillId="34" borderId="10" xfId="18" applyNumberFormat="1" applyFont="1" applyFill="1" applyBorder="1" applyAlignment="1" applyProtection="1">
      <alignment horizontal="center"/>
      <protection locked="0"/>
    </xf>
    <xf numFmtId="10" fontId="0" fillId="34" borderId="10" xfId="15" applyNumberFormat="1" applyFont="1" applyFill="1" applyBorder="1" applyProtection="1">
      <protection locked="0"/>
    </xf>
    <xf numFmtId="44" fontId="0" fillId="31" borderId="35" xfId="16" applyFont="1" applyFill="1" applyBorder="1" applyProtection="1">
      <protection/>
    </xf>
    <xf numFmtId="10" fontId="0" fillId="31" borderId="10" xfId="15" applyNumberFormat="1" applyFont="1" applyFill="1" applyBorder="1" applyProtection="1">
      <protection/>
    </xf>
    <xf numFmtId="0" fontId="0" fillId="31" borderId="10" xfId="0" applyFill="1" applyBorder="1"/>
    <xf numFmtId="0" fontId="0" fillId="31" borderId="24" xfId="0" applyFill="1" applyBorder="1"/>
    <xf numFmtId="44" fontId="0" fillId="31" borderId="11" xfId="16" applyFont="1" applyFill="1" applyBorder="1" applyProtection="1">
      <protection/>
    </xf>
    <xf numFmtId="0" fontId="0" fillId="31" borderId="25" xfId="0" applyFill="1" applyBorder="1"/>
    <xf numFmtId="44" fontId="40" fillId="31" borderId="11" xfId="16" applyFont="1" applyFill="1" applyBorder="1" applyProtection="1">
      <protection/>
    </xf>
    <xf numFmtId="0" fontId="41" fillId="31" borderId="23" xfId="0" applyFont="1" applyFill="1" applyBorder="1"/>
    <xf numFmtId="8" fontId="40" fillId="31" borderId="11" xfId="0" applyNumberFormat="1" applyFont="1" applyFill="1" applyBorder="1"/>
    <xf numFmtId="0" fontId="0" fillId="29" borderId="10" xfId="18" applyNumberFormat="1" applyFont="1" applyFill="1" applyBorder="1" applyAlignment="1" applyProtection="1">
      <alignment horizontal="center"/>
      <protection/>
    </xf>
    <xf numFmtId="10" fontId="0" fillId="29" borderId="10" xfId="15" applyNumberFormat="1" applyFont="1" applyFill="1" applyBorder="1" applyProtection="1">
      <protection/>
    </xf>
    <xf numFmtId="0" fontId="42" fillId="0" borderId="0" xfId="0" applyFont="1"/>
    <xf numFmtId="10" fontId="0" fillId="35" borderId="0" xfId="0" applyNumberFormat="1" applyFill="1"/>
    <xf numFmtId="166" fontId="0" fillId="35" borderId="35" xfId="0" applyNumberFormat="1" applyFill="1" applyBorder="1"/>
    <xf numFmtId="166" fontId="0" fillId="33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right"/>
      <protection locked="0"/>
    </xf>
    <xf numFmtId="0" fontId="0" fillId="25" borderId="10" xfId="0" applyFont="1" applyFill="1" applyBorder="1" applyAlignment="1" applyProtection="1">
      <alignment horizontal="right"/>
      <protection locked="0"/>
    </xf>
    <xf numFmtId="0" fontId="34" fillId="0" borderId="19" xfId="0" applyFont="1" applyBorder="1"/>
    <xf numFmtId="0" fontId="0" fillId="29" borderId="23" xfId="0" applyFill="1" applyBorder="1" applyAlignment="1">
      <alignment horizontal="left" vertical="top" wrapText="1"/>
    </xf>
    <xf numFmtId="0" fontId="0" fillId="29" borderId="35" xfId="0" applyFill="1" applyBorder="1" applyAlignment="1">
      <alignment horizontal="left" vertical="top" wrapText="1"/>
    </xf>
    <xf numFmtId="0" fontId="0" fillId="29" borderId="36" xfId="0" applyFill="1" applyBorder="1" applyAlignment="1">
      <alignment horizontal="left" vertical="top" wrapText="1"/>
    </xf>
    <xf numFmtId="0" fontId="0" fillId="29" borderId="24" xfId="0" applyFill="1" applyBorder="1" applyAlignment="1">
      <alignment horizontal="left" vertical="top" wrapText="1"/>
    </xf>
    <xf numFmtId="0" fontId="0" fillId="29" borderId="0" xfId="0" applyFill="1" applyAlignment="1">
      <alignment horizontal="left" vertical="top" wrapText="1"/>
    </xf>
    <xf numFmtId="0" fontId="0" fillId="29" borderId="37" xfId="0" applyFill="1" applyBorder="1" applyAlignment="1">
      <alignment horizontal="left" vertical="top" wrapText="1"/>
    </xf>
    <xf numFmtId="0" fontId="0" fillId="29" borderId="25" xfId="0" applyFill="1" applyBorder="1" applyAlignment="1">
      <alignment horizontal="left" vertical="top" wrapText="1"/>
    </xf>
    <xf numFmtId="0" fontId="0" fillId="29" borderId="11" xfId="0" applyFill="1" applyBorder="1" applyAlignment="1">
      <alignment horizontal="left" vertical="top" wrapText="1"/>
    </xf>
    <xf numFmtId="0" fontId="0" fillId="29" borderId="38" xfId="0" applyFill="1" applyBorder="1" applyAlignment="1">
      <alignment horizontal="left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dxfs count="2">
    <dxf>
      <font>
        <b/>
        <i val="0"/>
      </font>
      <border>
        <left style="dashDot">
          <color rgb="FF7030A0"/>
        </left>
        <right style="dashDot">
          <color rgb="FF7030A0"/>
        </right>
        <top style="dashDot">
          <color rgb="FF7030A0"/>
        </top>
        <bottom style="dashDot">
          <color rgb="FF7030A0"/>
        </bottom>
      </border>
    </dxf>
    <dxf>
      <font>
        <b/>
        <i val="0"/>
      </font>
      <border>
        <left style="dashDot">
          <color rgb="FF7030A0"/>
        </left>
        <right style="dashDot">
          <color rgb="FF7030A0"/>
        </right>
        <top style="dashDot">
          <color rgb="FF7030A0"/>
        </top>
        <bottom style="dashDot">
          <color rgb="FF7030A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1"/>
  <sheetViews>
    <sheetView tabSelected="1" zoomScale="83" zoomScaleNormal="83" workbookViewId="0" topLeftCell="A1">
      <selection activeCell="B12" sqref="B12"/>
    </sheetView>
  </sheetViews>
  <sheetFormatPr defaultColWidth="9.140625" defaultRowHeight="12.75"/>
  <cols>
    <col min="1" max="1" width="29.8515625" style="0" customWidth="1"/>
    <col min="2" max="2" width="15.8515625" style="0" customWidth="1"/>
    <col min="3" max="3" width="15.00390625" style="0" customWidth="1"/>
    <col min="4" max="4" width="15.28125" style="0" customWidth="1"/>
    <col min="5" max="5" width="16.00390625" style="0" customWidth="1"/>
    <col min="6" max="6" width="13.28125" style="0" customWidth="1"/>
    <col min="7" max="7" width="13.8515625" style="0" customWidth="1"/>
    <col min="8" max="8" width="1.7109375" style="0" customWidth="1"/>
    <col min="9" max="9" width="14.7109375" style="0" customWidth="1"/>
    <col min="10" max="10" width="14.140625" style="41" bestFit="1" customWidth="1"/>
    <col min="12" max="12" width="12.7109375" style="0" customWidth="1"/>
    <col min="14" max="14" width="8.421875" style="0" customWidth="1"/>
    <col min="16" max="16" width="15.28125" style="0" customWidth="1"/>
    <col min="17" max="17" width="2.140625" style="0" customWidth="1"/>
  </cols>
  <sheetData>
    <row r="1" spans="1:8" ht="12.75">
      <c r="A1" s="47" t="s">
        <v>20</v>
      </c>
      <c r="B1" s="48"/>
      <c r="C1" s="49"/>
      <c r="D1" s="48"/>
      <c r="E1" s="48"/>
      <c r="F1" s="54"/>
      <c r="G1" s="1"/>
      <c r="H1" s="1"/>
    </row>
    <row r="2" spans="1:8" ht="12.75">
      <c r="A2" s="50" t="s">
        <v>28</v>
      </c>
      <c r="B2" s="51"/>
      <c r="C2" s="52"/>
      <c r="D2" s="51"/>
      <c r="E2" s="51"/>
      <c r="F2" s="55"/>
      <c r="G2" s="1"/>
      <c r="H2" s="1"/>
    </row>
    <row r="3" spans="1:8" ht="13.5" thickBot="1">
      <c r="A3" s="56" t="s">
        <v>31</v>
      </c>
      <c r="B3" s="53"/>
      <c r="C3" s="53"/>
      <c r="D3" s="121"/>
      <c r="E3" s="121"/>
      <c r="F3" s="122"/>
      <c r="G3" s="1"/>
      <c r="H3" s="1"/>
    </row>
    <row r="4" spans="1:10" ht="15.75">
      <c r="A4" s="153"/>
      <c r="B4" s="149" t="s">
        <v>0</v>
      </c>
      <c r="C4" s="154"/>
      <c r="D4" s="163"/>
      <c r="E4" s="163"/>
      <c r="F4" s="155"/>
      <c r="G4" s="162"/>
      <c r="H4" s="162"/>
      <c r="I4" s="162"/>
      <c r="J4" s="162"/>
    </row>
    <row r="5" spans="1:10" ht="15.75">
      <c r="A5" s="156"/>
      <c r="B5" s="150" t="s">
        <v>1</v>
      </c>
      <c r="C5" s="157"/>
      <c r="D5" s="164"/>
      <c r="E5" s="164"/>
      <c r="F5" s="158"/>
      <c r="G5" s="162"/>
      <c r="H5" s="162"/>
      <c r="I5" s="162"/>
      <c r="J5" s="162"/>
    </row>
    <row r="6" spans="1:10" ht="16.5" thickBot="1">
      <c r="A6" s="159"/>
      <c r="B6" s="151" t="s">
        <v>69</v>
      </c>
      <c r="C6" s="160"/>
      <c r="D6" s="165"/>
      <c r="E6" s="165"/>
      <c r="F6" s="161"/>
      <c r="G6" s="162"/>
      <c r="H6" s="162"/>
      <c r="I6" s="162"/>
      <c r="J6" s="162"/>
    </row>
    <row r="7" spans="1:8" ht="12.75">
      <c r="A7" s="2"/>
      <c r="C7" s="3"/>
      <c r="D7" s="5"/>
      <c r="E7" s="4"/>
      <c r="G7" s="1"/>
      <c r="H7" s="1"/>
    </row>
    <row r="8" spans="1:8" ht="15">
      <c r="A8" s="129" t="s">
        <v>2</v>
      </c>
      <c r="B8" s="45">
        <f ca="1">TODAY()</f>
        <v>45307</v>
      </c>
      <c r="C8" s="3"/>
      <c r="D8" s="5"/>
      <c r="E8" s="4"/>
      <c r="F8" s="4"/>
      <c r="G8" s="3"/>
      <c r="H8" s="3"/>
    </row>
    <row r="9" spans="1:8" ht="15">
      <c r="A9" s="129"/>
      <c r="B9" s="4"/>
      <c r="C9" s="3"/>
      <c r="D9" s="5"/>
      <c r="E9" s="4"/>
      <c r="F9" s="4"/>
      <c r="G9" s="3"/>
      <c r="H9" s="3"/>
    </row>
    <row r="10" spans="1:8" ht="15">
      <c r="A10" s="130" t="s">
        <v>3</v>
      </c>
      <c r="B10" s="231"/>
      <c r="C10" s="3"/>
      <c r="D10" s="4"/>
      <c r="E10" s="4"/>
      <c r="F10" s="4"/>
      <c r="G10" s="3"/>
      <c r="H10" s="3"/>
    </row>
    <row r="11" spans="1:8" ht="15">
      <c r="A11" s="131"/>
      <c r="B11" s="126"/>
      <c r="C11" s="3"/>
      <c r="D11" s="4"/>
      <c r="E11" s="4"/>
      <c r="F11" s="166"/>
      <c r="G11" s="3"/>
      <c r="H11" s="3"/>
    </row>
    <row r="12" spans="1:8" ht="15">
      <c r="A12" s="130" t="s">
        <v>30</v>
      </c>
      <c r="B12" s="57">
        <v>2024</v>
      </c>
      <c r="C12" s="123"/>
      <c r="D12" s="136"/>
      <c r="E12" s="4"/>
      <c r="F12" s="4"/>
      <c r="G12" s="3"/>
      <c r="H12" s="3"/>
    </row>
    <row r="13" spans="1:8" ht="15">
      <c r="A13" s="130"/>
      <c r="B13" s="127"/>
      <c r="C13" s="3"/>
      <c r="D13" s="4"/>
      <c r="E13" s="4"/>
      <c r="F13" s="6"/>
      <c r="G13" s="3"/>
      <c r="H13" s="3"/>
    </row>
    <row r="14" spans="1:8" ht="15">
      <c r="A14" s="130" t="s">
        <v>4</v>
      </c>
      <c r="B14" s="58">
        <v>0</v>
      </c>
      <c r="C14" s="3"/>
      <c r="D14" s="4"/>
      <c r="E14" s="4"/>
      <c r="F14" s="6"/>
      <c r="G14" s="3"/>
      <c r="H14" s="3"/>
    </row>
    <row r="15" spans="1:8" ht="15">
      <c r="A15" s="132" t="s">
        <v>5</v>
      </c>
      <c r="B15" s="138">
        <v>0</v>
      </c>
      <c r="C15" s="3"/>
      <c r="D15" s="4"/>
      <c r="F15" s="7"/>
      <c r="G15" s="8"/>
      <c r="H15" s="8"/>
    </row>
    <row r="16" spans="1:8" ht="15">
      <c r="A16" s="132"/>
      <c r="C16" s="3"/>
      <c r="D16" s="4"/>
      <c r="F16" s="9"/>
      <c r="G16" s="10"/>
      <c r="H16" s="10"/>
    </row>
    <row r="17" spans="1:8" ht="15">
      <c r="A17" s="132" t="s">
        <v>6</v>
      </c>
      <c r="B17" s="11">
        <f>+B14*B15</f>
        <v>0</v>
      </c>
      <c r="C17" s="3"/>
      <c r="D17" s="4"/>
      <c r="E17" s="12"/>
      <c r="F17" s="9"/>
      <c r="G17" s="13"/>
      <c r="H17" s="13"/>
    </row>
    <row r="18" spans="3:8" ht="12.75" customHeight="1">
      <c r="C18" s="3"/>
      <c r="D18" s="4"/>
      <c r="E18" s="4"/>
      <c r="F18" s="4"/>
      <c r="G18" s="3"/>
      <c r="H18" s="3"/>
    </row>
    <row r="19" spans="1:9" ht="30">
      <c r="A19" s="148" t="s">
        <v>7</v>
      </c>
      <c r="B19" s="14">
        <f>(VLOOKUP(B12,'NIH Cap Table'!A1:B20,2))*B15</f>
        <v>0</v>
      </c>
      <c r="C19" s="3"/>
      <c r="D19" s="137"/>
      <c r="E19" s="16"/>
      <c r="G19" s="1"/>
      <c r="H19" s="97"/>
      <c r="I19" s="96"/>
    </row>
    <row r="20" spans="1:9" ht="14.25">
      <c r="A20" s="133"/>
      <c r="C20" s="3"/>
      <c r="D20" s="15"/>
      <c r="E20" s="17"/>
      <c r="F20" s="18"/>
      <c r="G20" s="1"/>
      <c r="H20" s="97"/>
      <c r="I20" s="96"/>
    </row>
    <row r="21" spans="1:9" ht="15.75" thickBot="1">
      <c r="A21" s="132" t="s">
        <v>29</v>
      </c>
      <c r="B21" s="232"/>
      <c r="C21" s="124"/>
      <c r="D21" s="20"/>
      <c r="E21" s="20"/>
      <c r="F21" s="20"/>
      <c r="G21" s="19"/>
      <c r="H21" s="19"/>
      <c r="I21" s="96"/>
    </row>
    <row r="22" spans="1:10" ht="13.5" thickBot="1">
      <c r="A22" s="21"/>
      <c r="B22" s="22"/>
      <c r="C22" s="125"/>
      <c r="D22" s="24"/>
      <c r="E22" s="24"/>
      <c r="F22" s="24"/>
      <c r="G22" s="23"/>
      <c r="H22" s="19"/>
      <c r="I22" s="152" t="s">
        <v>27</v>
      </c>
      <c r="J22" s="152" t="s">
        <v>27</v>
      </c>
    </row>
    <row r="23" spans="1:10" ht="38.25">
      <c r="A23" s="65" t="s">
        <v>8</v>
      </c>
      <c r="B23" s="66" t="s">
        <v>21</v>
      </c>
      <c r="C23" s="66" t="s">
        <v>9</v>
      </c>
      <c r="D23" s="67" t="s">
        <v>10</v>
      </c>
      <c r="E23" s="67" t="s">
        <v>22</v>
      </c>
      <c r="F23" s="67" t="s">
        <v>23</v>
      </c>
      <c r="G23" s="66" t="s">
        <v>24</v>
      </c>
      <c r="H23" s="80"/>
      <c r="I23" s="85" t="s">
        <v>25</v>
      </c>
      <c r="J23" s="86" t="s">
        <v>19</v>
      </c>
    </row>
    <row r="24" spans="1:10" ht="12.75">
      <c r="A24" s="59"/>
      <c r="B24" s="25">
        <f>+$B$17*C24</f>
        <v>0</v>
      </c>
      <c r="C24" s="61"/>
      <c r="D24" s="79"/>
      <c r="E24" s="68"/>
      <c r="F24" s="26">
        <f>+B24</f>
        <v>0</v>
      </c>
      <c r="G24" s="27" t="e">
        <f>+F24/$F$56</f>
        <v>#DIV/0!</v>
      </c>
      <c r="H24" s="81"/>
      <c r="I24" s="119" t="e">
        <f>ROUND(G24,4)</f>
        <v>#DIV/0!</v>
      </c>
      <c r="J24" s="87" t="e">
        <f>+$B$17*I24</f>
        <v>#DIV/0!</v>
      </c>
    </row>
    <row r="25" spans="1:10" ht="12.75">
      <c r="A25" s="59"/>
      <c r="B25" s="25">
        <f>+$B$17*C25</f>
        <v>0</v>
      </c>
      <c r="C25" s="62"/>
      <c r="D25" s="68"/>
      <c r="E25" s="68"/>
      <c r="F25" s="28">
        <f>+B25</f>
        <v>0</v>
      </c>
      <c r="G25" s="29" t="e">
        <f>+F25/$F$56</f>
        <v>#DIV/0!</v>
      </c>
      <c r="H25" s="81"/>
      <c r="I25" s="119" t="e">
        <f>ROUND(G25,4)</f>
        <v>#DIV/0!</v>
      </c>
      <c r="J25" s="87" t="e">
        <f>+$B$17*I25</f>
        <v>#DIV/0!</v>
      </c>
    </row>
    <row r="26" spans="1:10" ht="12.75">
      <c r="A26" s="65" t="s">
        <v>18</v>
      </c>
      <c r="B26" s="68"/>
      <c r="C26" s="76"/>
      <c r="D26" s="68"/>
      <c r="E26" s="68"/>
      <c r="F26" s="68"/>
      <c r="G26" s="69"/>
      <c r="H26" s="82"/>
      <c r="I26" s="120"/>
      <c r="J26" s="88"/>
    </row>
    <row r="27" spans="1:10" ht="12.75">
      <c r="A27" s="59"/>
      <c r="B27" s="30">
        <f aca="true" t="shared" si="0" ref="B27:B34">+$B$17*C27</f>
        <v>0</v>
      </c>
      <c r="C27" s="61"/>
      <c r="D27" s="31">
        <f aca="true" t="shared" si="1" ref="D27:D34">IF($B$17&lt;B$19,B27*1,B$19*C27)</f>
        <v>0</v>
      </c>
      <c r="E27" s="32">
        <f aca="true" t="shared" si="2" ref="E27:E34">+B27-D27</f>
        <v>0</v>
      </c>
      <c r="F27" s="26">
        <f>+D27</f>
        <v>0</v>
      </c>
      <c r="G27" s="27" t="e">
        <f aca="true" t="shared" si="3" ref="G27:G34">+F27/$F$56</f>
        <v>#DIV/0!</v>
      </c>
      <c r="H27" s="81"/>
      <c r="I27" s="119" t="e">
        <f aca="true" t="shared" si="4" ref="I27:I34">ROUND(G27,4)</f>
        <v>#DIV/0!</v>
      </c>
      <c r="J27" s="87" t="e">
        <f aca="true" t="shared" si="5" ref="J27:J34">+$B$17*I27</f>
        <v>#DIV/0!</v>
      </c>
    </row>
    <row r="28" spans="1:10" ht="12.75">
      <c r="A28" s="59"/>
      <c r="B28" s="30">
        <f t="shared" si="0"/>
        <v>0</v>
      </c>
      <c r="C28" s="61"/>
      <c r="D28" s="31">
        <f t="shared" si="1"/>
        <v>0</v>
      </c>
      <c r="E28" s="32">
        <f t="shared" si="2"/>
        <v>0</v>
      </c>
      <c r="F28" s="26">
        <f aca="true" t="shared" si="6" ref="F28:F34">+D28</f>
        <v>0</v>
      </c>
      <c r="G28" s="27" t="e">
        <f t="shared" si="3"/>
        <v>#DIV/0!</v>
      </c>
      <c r="H28" s="81"/>
      <c r="I28" s="119" t="e">
        <f t="shared" si="4"/>
        <v>#DIV/0!</v>
      </c>
      <c r="J28" s="87" t="e">
        <f t="shared" si="5"/>
        <v>#DIV/0!</v>
      </c>
    </row>
    <row r="29" spans="1:10" ht="12.75">
      <c r="A29" s="59"/>
      <c r="B29" s="30">
        <f t="shared" si="0"/>
        <v>0</v>
      </c>
      <c r="C29" s="61"/>
      <c r="D29" s="31">
        <f t="shared" si="1"/>
        <v>0</v>
      </c>
      <c r="E29" s="32">
        <f>+B29-D29</f>
        <v>0</v>
      </c>
      <c r="F29" s="26">
        <f>+D29</f>
        <v>0</v>
      </c>
      <c r="G29" s="27" t="e">
        <f t="shared" si="3"/>
        <v>#DIV/0!</v>
      </c>
      <c r="H29" s="81"/>
      <c r="I29" s="119" t="e">
        <f t="shared" si="4"/>
        <v>#DIV/0!</v>
      </c>
      <c r="J29" s="87" t="e">
        <f t="shared" si="5"/>
        <v>#DIV/0!</v>
      </c>
    </row>
    <row r="30" spans="1:10" ht="12.75">
      <c r="A30" s="59"/>
      <c r="B30" s="30">
        <f t="shared" si="0"/>
        <v>0</v>
      </c>
      <c r="C30" s="61"/>
      <c r="D30" s="31">
        <f t="shared" si="1"/>
        <v>0</v>
      </c>
      <c r="E30" s="32">
        <f>+B30-D30</f>
        <v>0</v>
      </c>
      <c r="F30" s="26">
        <f>+D30</f>
        <v>0</v>
      </c>
      <c r="G30" s="27" t="e">
        <f t="shared" si="3"/>
        <v>#DIV/0!</v>
      </c>
      <c r="H30" s="81"/>
      <c r="I30" s="119" t="e">
        <f t="shared" si="4"/>
        <v>#DIV/0!</v>
      </c>
      <c r="J30" s="87" t="e">
        <f t="shared" si="5"/>
        <v>#DIV/0!</v>
      </c>
    </row>
    <row r="31" spans="1:10" ht="12.75">
      <c r="A31" s="59"/>
      <c r="B31" s="30">
        <f t="shared" si="0"/>
        <v>0</v>
      </c>
      <c r="C31" s="61"/>
      <c r="D31" s="31">
        <f t="shared" si="1"/>
        <v>0</v>
      </c>
      <c r="E31" s="32">
        <f>+B31-D31</f>
        <v>0</v>
      </c>
      <c r="F31" s="26">
        <f>+D31</f>
        <v>0</v>
      </c>
      <c r="G31" s="27" t="e">
        <f t="shared" si="3"/>
        <v>#DIV/0!</v>
      </c>
      <c r="H31" s="81"/>
      <c r="I31" s="119" t="e">
        <f t="shared" si="4"/>
        <v>#DIV/0!</v>
      </c>
      <c r="J31" s="87" t="e">
        <f t="shared" si="5"/>
        <v>#DIV/0!</v>
      </c>
    </row>
    <row r="32" spans="1:10" ht="12.75">
      <c r="A32" s="59"/>
      <c r="B32" s="30">
        <f t="shared" si="0"/>
        <v>0</v>
      </c>
      <c r="C32" s="61"/>
      <c r="D32" s="31">
        <f t="shared" si="1"/>
        <v>0</v>
      </c>
      <c r="E32" s="32">
        <f t="shared" si="2"/>
        <v>0</v>
      </c>
      <c r="F32" s="26">
        <f t="shared" si="6"/>
        <v>0</v>
      </c>
      <c r="G32" s="27" t="e">
        <f t="shared" si="3"/>
        <v>#DIV/0!</v>
      </c>
      <c r="H32" s="81"/>
      <c r="I32" s="119" t="e">
        <f t="shared" si="4"/>
        <v>#DIV/0!</v>
      </c>
      <c r="J32" s="87" t="e">
        <f t="shared" si="5"/>
        <v>#DIV/0!</v>
      </c>
    </row>
    <row r="33" spans="1:10" ht="12.75">
      <c r="A33" s="59"/>
      <c r="B33" s="30">
        <f t="shared" si="0"/>
        <v>0</v>
      </c>
      <c r="C33" s="61"/>
      <c r="D33" s="31">
        <f t="shared" si="1"/>
        <v>0</v>
      </c>
      <c r="E33" s="32">
        <f t="shared" si="2"/>
        <v>0</v>
      </c>
      <c r="F33" s="26">
        <f t="shared" si="6"/>
        <v>0</v>
      </c>
      <c r="G33" s="27" t="e">
        <f t="shared" si="3"/>
        <v>#DIV/0!</v>
      </c>
      <c r="H33" s="81"/>
      <c r="I33" s="119" t="e">
        <f t="shared" si="4"/>
        <v>#DIV/0!</v>
      </c>
      <c r="J33" s="87" t="e">
        <f t="shared" si="5"/>
        <v>#DIV/0!</v>
      </c>
    </row>
    <row r="34" spans="1:10" ht="12.75">
      <c r="A34" s="59"/>
      <c r="B34" s="30">
        <f t="shared" si="0"/>
        <v>0</v>
      </c>
      <c r="C34" s="61"/>
      <c r="D34" s="31">
        <f t="shared" si="1"/>
        <v>0</v>
      </c>
      <c r="E34" s="32">
        <f t="shared" si="2"/>
        <v>0</v>
      </c>
      <c r="F34" s="26">
        <f t="shared" si="6"/>
        <v>0</v>
      </c>
      <c r="G34" s="27" t="e">
        <f t="shared" si="3"/>
        <v>#DIV/0!</v>
      </c>
      <c r="H34" s="81"/>
      <c r="I34" s="119" t="e">
        <f t="shared" si="4"/>
        <v>#DIV/0!</v>
      </c>
      <c r="J34" s="87" t="e">
        <f t="shared" si="5"/>
        <v>#DIV/0!</v>
      </c>
    </row>
    <row r="35" spans="1:10" ht="12.75">
      <c r="A35" s="65" t="s">
        <v>17</v>
      </c>
      <c r="B35" s="68"/>
      <c r="C35" s="76"/>
      <c r="D35" s="68"/>
      <c r="E35" s="68"/>
      <c r="F35" s="68"/>
      <c r="G35" s="69"/>
      <c r="H35" s="82"/>
      <c r="I35" s="120"/>
      <c r="J35" s="88"/>
    </row>
    <row r="36" spans="1:10" ht="12.75">
      <c r="A36" s="139"/>
      <c r="B36" s="140"/>
      <c r="C36" s="141"/>
      <c r="D36" s="140"/>
      <c r="E36" s="140"/>
      <c r="F36" s="142"/>
      <c r="G36" s="143"/>
      <c r="H36" s="144"/>
      <c r="I36" s="145"/>
      <c r="J36" s="146"/>
    </row>
    <row r="37" spans="1:10" ht="12.75">
      <c r="A37" s="139"/>
      <c r="B37" s="140"/>
      <c r="C37" s="141"/>
      <c r="D37" s="140"/>
      <c r="E37" s="140"/>
      <c r="F37" s="142"/>
      <c r="G37" s="143"/>
      <c r="H37" s="144"/>
      <c r="I37" s="145"/>
      <c r="J37" s="146"/>
    </row>
    <row r="38" spans="1:10" ht="12.75">
      <c r="A38" s="91" t="s">
        <v>11</v>
      </c>
      <c r="B38" s="92"/>
      <c r="C38" s="128"/>
      <c r="D38" s="92"/>
      <c r="E38" s="92"/>
      <c r="F38" s="92"/>
      <c r="G38" s="93"/>
      <c r="H38" s="82"/>
      <c r="I38" s="120"/>
      <c r="J38" s="88"/>
    </row>
    <row r="39" spans="1:10" ht="12.75">
      <c r="A39" s="59"/>
      <c r="B39" s="33">
        <f aca="true" t="shared" si="7" ref="B39:B46">+$B$17*C39</f>
        <v>0</v>
      </c>
      <c r="C39" s="63"/>
      <c r="D39" s="79"/>
      <c r="E39" s="68"/>
      <c r="F39" s="34">
        <f aca="true" t="shared" si="8" ref="F39:F46">+B39</f>
        <v>0</v>
      </c>
      <c r="G39" s="35" t="e">
        <f aca="true" t="shared" si="9" ref="G39:G46">+F39/$F$56</f>
        <v>#DIV/0!</v>
      </c>
      <c r="H39" s="81"/>
      <c r="I39" s="119" t="e">
        <f aca="true" t="shared" si="10" ref="I39:I46">ROUND(G39,4)</f>
        <v>#DIV/0!</v>
      </c>
      <c r="J39" s="87" t="e">
        <f aca="true" t="shared" si="11" ref="J39:J46">+$B$17*I39</f>
        <v>#DIV/0!</v>
      </c>
    </row>
    <row r="40" spans="1:10" ht="12.75">
      <c r="A40" s="59"/>
      <c r="B40" s="36">
        <f t="shared" si="7"/>
        <v>0</v>
      </c>
      <c r="C40" s="64"/>
      <c r="D40" s="68"/>
      <c r="E40" s="68"/>
      <c r="F40" s="37">
        <f t="shared" si="8"/>
        <v>0</v>
      </c>
      <c r="G40" s="27" t="e">
        <f t="shared" si="9"/>
        <v>#DIV/0!</v>
      </c>
      <c r="H40" s="81"/>
      <c r="I40" s="119" t="e">
        <f t="shared" si="10"/>
        <v>#DIV/0!</v>
      </c>
      <c r="J40" s="87" t="e">
        <f t="shared" si="11"/>
        <v>#DIV/0!</v>
      </c>
    </row>
    <row r="41" spans="1:10" ht="12.75">
      <c r="A41" s="59"/>
      <c r="B41" s="36">
        <f t="shared" si="7"/>
        <v>0</v>
      </c>
      <c r="C41" s="64"/>
      <c r="D41" s="68"/>
      <c r="E41" s="68"/>
      <c r="F41" s="37">
        <f t="shared" si="8"/>
        <v>0</v>
      </c>
      <c r="G41" s="27" t="e">
        <f t="shared" si="9"/>
        <v>#DIV/0!</v>
      </c>
      <c r="H41" s="81"/>
      <c r="I41" s="119" t="e">
        <f t="shared" si="10"/>
        <v>#DIV/0!</v>
      </c>
      <c r="J41" s="87" t="e">
        <f t="shared" si="11"/>
        <v>#DIV/0!</v>
      </c>
    </row>
    <row r="42" spans="1:10" ht="12.75">
      <c r="A42" s="59"/>
      <c r="B42" s="36">
        <f t="shared" si="7"/>
        <v>0</v>
      </c>
      <c r="C42" s="64"/>
      <c r="D42" s="68"/>
      <c r="E42" s="68"/>
      <c r="F42" s="37">
        <f t="shared" si="8"/>
        <v>0</v>
      </c>
      <c r="G42" s="27" t="e">
        <f t="shared" si="9"/>
        <v>#DIV/0!</v>
      </c>
      <c r="H42" s="81"/>
      <c r="I42" s="119" t="e">
        <f t="shared" si="10"/>
        <v>#DIV/0!</v>
      </c>
      <c r="J42" s="87" t="e">
        <f t="shared" si="11"/>
        <v>#DIV/0!</v>
      </c>
    </row>
    <row r="43" spans="1:10" ht="12.75">
      <c r="A43" s="59"/>
      <c r="B43" s="33">
        <f t="shared" si="7"/>
        <v>0</v>
      </c>
      <c r="C43" s="63"/>
      <c r="D43" s="79"/>
      <c r="E43" s="68"/>
      <c r="F43" s="34">
        <f t="shared" si="8"/>
        <v>0</v>
      </c>
      <c r="G43" s="35" t="e">
        <f t="shared" si="9"/>
        <v>#DIV/0!</v>
      </c>
      <c r="H43" s="81"/>
      <c r="I43" s="119" t="e">
        <f t="shared" si="10"/>
        <v>#DIV/0!</v>
      </c>
      <c r="J43" s="87" t="e">
        <f t="shared" si="11"/>
        <v>#DIV/0!</v>
      </c>
    </row>
    <row r="44" spans="1:10" ht="12.75">
      <c r="A44" s="59"/>
      <c r="B44" s="36">
        <f t="shared" si="7"/>
        <v>0</v>
      </c>
      <c r="C44" s="64"/>
      <c r="D44" s="68"/>
      <c r="E44" s="68"/>
      <c r="F44" s="37">
        <f t="shared" si="8"/>
        <v>0</v>
      </c>
      <c r="G44" s="27" t="e">
        <f t="shared" si="9"/>
        <v>#DIV/0!</v>
      </c>
      <c r="H44" s="81"/>
      <c r="I44" s="119" t="e">
        <f t="shared" si="10"/>
        <v>#DIV/0!</v>
      </c>
      <c r="J44" s="87" t="e">
        <f t="shared" si="11"/>
        <v>#DIV/0!</v>
      </c>
    </row>
    <row r="45" spans="1:10" ht="12.75">
      <c r="A45" s="59"/>
      <c r="B45" s="36">
        <f t="shared" si="7"/>
        <v>0</v>
      </c>
      <c r="C45" s="64"/>
      <c r="D45" s="68"/>
      <c r="E45" s="68"/>
      <c r="F45" s="37">
        <f t="shared" si="8"/>
        <v>0</v>
      </c>
      <c r="G45" s="27" t="e">
        <f t="shared" si="9"/>
        <v>#DIV/0!</v>
      </c>
      <c r="H45" s="81"/>
      <c r="I45" s="119" t="e">
        <f t="shared" si="10"/>
        <v>#DIV/0!</v>
      </c>
      <c r="J45" s="87" t="e">
        <f t="shared" si="11"/>
        <v>#DIV/0!</v>
      </c>
    </row>
    <row r="46" spans="1:10" ht="12.75">
      <c r="A46" s="59"/>
      <c r="B46" s="36">
        <f t="shared" si="7"/>
        <v>0</v>
      </c>
      <c r="C46" s="64"/>
      <c r="D46" s="68"/>
      <c r="E46" s="68"/>
      <c r="F46" s="37">
        <f t="shared" si="8"/>
        <v>0</v>
      </c>
      <c r="G46" s="27" t="e">
        <f t="shared" si="9"/>
        <v>#DIV/0!</v>
      </c>
      <c r="H46" s="81"/>
      <c r="I46" s="119" t="e">
        <f t="shared" si="10"/>
        <v>#DIV/0!</v>
      </c>
      <c r="J46" s="87" t="e">
        <f t="shared" si="11"/>
        <v>#DIV/0!</v>
      </c>
    </row>
    <row r="47" spans="1:10" ht="12.75">
      <c r="A47" s="94" t="s">
        <v>12</v>
      </c>
      <c r="B47" s="95"/>
      <c r="C47" s="68"/>
      <c r="D47" s="68"/>
      <c r="E47" s="68"/>
      <c r="F47" s="71"/>
      <c r="G47" s="69"/>
      <c r="H47" s="82"/>
      <c r="I47" s="120"/>
      <c r="J47" s="88"/>
    </row>
    <row r="48" spans="1:10" ht="12.75">
      <c r="A48" s="60"/>
      <c r="B48" s="70"/>
      <c r="C48" s="68"/>
      <c r="D48" s="68"/>
      <c r="E48" s="68"/>
      <c r="F48" s="37">
        <f>E27</f>
        <v>0</v>
      </c>
      <c r="G48" s="38" t="e">
        <f aca="true" t="shared" si="12" ref="G48:G55">+F48/$F$56</f>
        <v>#DIV/0!</v>
      </c>
      <c r="H48" s="83"/>
      <c r="I48" s="119" t="e">
        <f aca="true" t="shared" si="13" ref="I48:I55">ROUND(G48,4)</f>
        <v>#DIV/0!</v>
      </c>
      <c r="J48" s="87" t="e">
        <f aca="true" t="shared" si="14" ref="J48:J55">+$B$17*I48</f>
        <v>#DIV/0!</v>
      </c>
    </row>
    <row r="49" spans="1:10" ht="12.75">
      <c r="A49" s="60"/>
      <c r="B49" s="70"/>
      <c r="C49" s="68"/>
      <c r="D49" s="68"/>
      <c r="E49" s="68"/>
      <c r="F49" s="37">
        <f aca="true" t="shared" si="15" ref="F49:F55">E28</f>
        <v>0</v>
      </c>
      <c r="G49" s="38" t="e">
        <f t="shared" si="12"/>
        <v>#DIV/0!</v>
      </c>
      <c r="H49" s="83"/>
      <c r="I49" s="119" t="e">
        <f t="shared" si="13"/>
        <v>#DIV/0!</v>
      </c>
      <c r="J49" s="87" t="e">
        <f t="shared" si="14"/>
        <v>#DIV/0!</v>
      </c>
    </row>
    <row r="50" spans="1:10" ht="12.75">
      <c r="A50" s="60"/>
      <c r="B50" s="70"/>
      <c r="C50" s="68"/>
      <c r="D50" s="68"/>
      <c r="E50" s="68"/>
      <c r="F50" s="37">
        <f t="shared" si="15"/>
        <v>0</v>
      </c>
      <c r="G50" s="38" t="e">
        <f t="shared" si="12"/>
        <v>#DIV/0!</v>
      </c>
      <c r="H50" s="83"/>
      <c r="I50" s="119" t="e">
        <f t="shared" si="13"/>
        <v>#DIV/0!</v>
      </c>
      <c r="J50" s="87" t="e">
        <f t="shared" si="14"/>
        <v>#DIV/0!</v>
      </c>
    </row>
    <row r="51" spans="1:10" ht="12.75">
      <c r="A51" s="60"/>
      <c r="B51" s="70"/>
      <c r="C51" s="68"/>
      <c r="D51" s="68"/>
      <c r="E51" s="68"/>
      <c r="F51" s="37">
        <f t="shared" si="15"/>
        <v>0</v>
      </c>
      <c r="G51" s="38" t="e">
        <f t="shared" si="12"/>
        <v>#DIV/0!</v>
      </c>
      <c r="H51" s="83"/>
      <c r="I51" s="119" t="e">
        <f t="shared" si="13"/>
        <v>#DIV/0!</v>
      </c>
      <c r="J51" s="87" t="e">
        <f t="shared" si="14"/>
        <v>#DIV/0!</v>
      </c>
    </row>
    <row r="52" spans="1:10" ht="12.75">
      <c r="A52" s="60"/>
      <c r="B52" s="70"/>
      <c r="C52" s="68"/>
      <c r="D52" s="68"/>
      <c r="E52" s="68"/>
      <c r="F52" s="37">
        <f t="shared" si="15"/>
        <v>0</v>
      </c>
      <c r="G52" s="38" t="e">
        <f t="shared" si="12"/>
        <v>#DIV/0!</v>
      </c>
      <c r="H52" s="83"/>
      <c r="I52" s="119" t="e">
        <f t="shared" si="13"/>
        <v>#DIV/0!</v>
      </c>
      <c r="J52" s="87" t="e">
        <f t="shared" si="14"/>
        <v>#DIV/0!</v>
      </c>
    </row>
    <row r="53" spans="1:10" ht="12.75">
      <c r="A53" s="60"/>
      <c r="B53" s="70"/>
      <c r="C53" s="68"/>
      <c r="D53" s="68"/>
      <c r="E53" s="68"/>
      <c r="F53" s="37">
        <f t="shared" si="15"/>
        <v>0</v>
      </c>
      <c r="G53" s="38" t="e">
        <f t="shared" si="12"/>
        <v>#DIV/0!</v>
      </c>
      <c r="H53" s="83"/>
      <c r="I53" s="119" t="e">
        <f t="shared" si="13"/>
        <v>#DIV/0!</v>
      </c>
      <c r="J53" s="87" t="e">
        <f t="shared" si="14"/>
        <v>#DIV/0!</v>
      </c>
    </row>
    <row r="54" spans="1:10" ht="12.75">
      <c r="A54" s="60"/>
      <c r="B54" s="70"/>
      <c r="C54" s="68"/>
      <c r="D54" s="68"/>
      <c r="E54" s="68"/>
      <c r="F54" s="37">
        <f t="shared" si="15"/>
        <v>0</v>
      </c>
      <c r="G54" s="38" t="e">
        <f t="shared" si="12"/>
        <v>#DIV/0!</v>
      </c>
      <c r="H54" s="83"/>
      <c r="I54" s="119" t="e">
        <f t="shared" si="13"/>
        <v>#DIV/0!</v>
      </c>
      <c r="J54" s="87" t="e">
        <f t="shared" si="14"/>
        <v>#DIV/0!</v>
      </c>
    </row>
    <row r="55" spans="1:10" ht="12.75">
      <c r="A55" s="60"/>
      <c r="B55" s="70"/>
      <c r="C55" s="68"/>
      <c r="D55" s="68"/>
      <c r="E55" s="68"/>
      <c r="F55" s="37">
        <f t="shared" si="15"/>
        <v>0</v>
      </c>
      <c r="G55" s="38" t="e">
        <f t="shared" si="12"/>
        <v>#DIV/0!</v>
      </c>
      <c r="H55" s="83"/>
      <c r="I55" s="119" t="e">
        <f t="shared" si="13"/>
        <v>#DIV/0!</v>
      </c>
      <c r="J55" s="87" t="e">
        <f t="shared" si="14"/>
        <v>#DIV/0!</v>
      </c>
    </row>
    <row r="56" spans="1:10" ht="13.5" thickBot="1">
      <c r="A56" s="72" t="s">
        <v>13</v>
      </c>
      <c r="B56" s="73">
        <f>SUM(B55,B39:B55,B27:B34,B24:B25)</f>
        <v>0</v>
      </c>
      <c r="C56" s="74">
        <f>SUM(C24:C55)</f>
        <v>0</v>
      </c>
      <c r="D56" s="75"/>
      <c r="E56" s="76"/>
      <c r="F56" s="77">
        <f>SUM(F23:F55)</f>
        <v>0</v>
      </c>
      <c r="G56" s="78" t="e">
        <f>SUM(G23:G55)</f>
        <v>#DIV/0!</v>
      </c>
      <c r="H56" s="84"/>
      <c r="I56" s="89" t="e">
        <f>SUM(I24:I55)</f>
        <v>#DIV/0!</v>
      </c>
      <c r="J56" s="90" t="e">
        <f>SUM(J24:J55)</f>
        <v>#DIV/0!</v>
      </c>
    </row>
    <row r="57" spans="1:10" ht="12.75">
      <c r="A57" s="100"/>
      <c r="B57" s="101"/>
      <c r="C57" s="102"/>
      <c r="D57" s="103"/>
      <c r="E57" s="104"/>
      <c r="F57" s="105"/>
      <c r="G57" s="106"/>
      <c r="H57" s="106"/>
      <c r="I57" s="109"/>
      <c r="J57" s="110"/>
    </row>
    <row r="58" spans="1:10" ht="12.75">
      <c r="A58" s="100"/>
      <c r="B58" s="101"/>
      <c r="C58" s="102"/>
      <c r="D58" s="103"/>
      <c r="E58" s="104"/>
      <c r="F58" s="105"/>
      <c r="G58" s="106"/>
      <c r="H58" s="106"/>
      <c r="I58" s="107"/>
      <c r="J58" s="108"/>
    </row>
    <row r="59" spans="1:10" ht="13.5" thickBot="1">
      <c r="A59" s="117" t="s">
        <v>26</v>
      </c>
      <c r="B59" s="101"/>
      <c r="C59" s="102"/>
      <c r="D59" s="103"/>
      <c r="E59" s="104"/>
      <c r="F59" s="105"/>
      <c r="G59" s="106"/>
      <c r="H59" s="106"/>
      <c r="I59" s="107"/>
      <c r="J59" s="108"/>
    </row>
    <row r="60" spans="1:10" ht="12.75">
      <c r="A60" s="111"/>
      <c r="B60" s="98" t="str">
        <f>IF(B56=B17,"","Warning: ")</f>
        <v/>
      </c>
      <c r="C60" s="98" t="str">
        <f>IF(C56=100%,"","Warning: ")</f>
        <v xml:space="preserve">Warning: </v>
      </c>
      <c r="D60" s="98"/>
      <c r="E60" s="98"/>
      <c r="F60" s="98" t="str">
        <f>IF(F56=B17,"","Warning: ")</f>
        <v/>
      </c>
      <c r="G60" s="112"/>
      <c r="H60" s="112"/>
      <c r="I60" s="98" t="e">
        <f>IF(I56=100%,"","Warning: Total s/b 100%")</f>
        <v>#DIV/0!</v>
      </c>
      <c r="J60" s="42"/>
    </row>
    <row r="61" spans="1:10" ht="12.75">
      <c r="A61" s="113"/>
      <c r="B61" s="96" t="str">
        <f>IF(B56=B17,"","   Salary Error")</f>
        <v/>
      </c>
      <c r="C61" s="96" t="str">
        <f>IF(C56=100%,"","Does not = 100%")</f>
        <v>Does not = 100%</v>
      </c>
      <c r="D61" s="15"/>
      <c r="E61" s="15"/>
      <c r="F61" s="96" t="str">
        <f>IF(F56=B17,"","Salary out of balance")</f>
        <v/>
      </c>
      <c r="G61" s="114"/>
      <c r="H61" s="114"/>
      <c r="I61" s="96" t="e">
        <f>IF(I56=100%,"","Make manual adj: + or - .0001")</f>
        <v>#DIV/0!</v>
      </c>
      <c r="J61" s="43"/>
    </row>
    <row r="62" spans="1:10" ht="13.5" thickBot="1">
      <c r="A62" s="115"/>
      <c r="B62" s="46"/>
      <c r="C62" s="46"/>
      <c r="D62" s="46"/>
      <c r="E62" s="46"/>
      <c r="F62" s="46"/>
      <c r="G62" s="116"/>
      <c r="H62" s="116"/>
      <c r="I62" s="118" t="e">
        <f>IF(I56=100%,"","to cell I46")</f>
        <v>#DIV/0!</v>
      </c>
      <c r="J62" s="44"/>
    </row>
    <row r="63" spans="1:10" ht="12.75">
      <c r="A63" s="15"/>
      <c r="B63" s="15"/>
      <c r="C63" s="15"/>
      <c r="D63" s="15"/>
      <c r="E63" s="15"/>
      <c r="F63" s="15"/>
      <c r="G63" s="114"/>
      <c r="H63" s="114"/>
      <c r="I63" s="15"/>
      <c r="J63" s="99"/>
    </row>
    <row r="64" spans="1:10" ht="12.75">
      <c r="A64" s="168"/>
      <c r="B64" s="168"/>
      <c r="C64" s="168"/>
      <c r="J64" s="169"/>
    </row>
    <row r="65" spans="1:10" ht="12.75">
      <c r="A65" s="229" t="s">
        <v>68</v>
      </c>
      <c r="B65" s="168"/>
      <c r="C65" s="168"/>
      <c r="D65" t="s">
        <v>42</v>
      </c>
      <c r="J65" s="169"/>
    </row>
    <row r="66" spans="1:10" ht="12.75">
      <c r="A66" s="168"/>
      <c r="B66" s="168"/>
      <c r="C66" s="168"/>
      <c r="F66" s="228">
        <v>183000</v>
      </c>
      <c r="G66" t="s">
        <v>43</v>
      </c>
      <c r="I66" s="170">
        <v>178000</v>
      </c>
      <c r="J66" t="str">
        <f>IF(I66=K69,L69,IF(I66=K70,L70,IF(I66=K71,L71)))</f>
        <v>Professor</v>
      </c>
    </row>
    <row r="67" spans="1:11" ht="12.75">
      <c r="A67" s="168"/>
      <c r="B67" s="168"/>
      <c r="C67" s="168"/>
      <c r="I67" s="169"/>
      <c r="J67"/>
      <c r="K67" s="171"/>
    </row>
    <row r="68" spans="1:13" ht="12.75">
      <c r="A68" s="168"/>
      <c r="B68" s="168"/>
      <c r="C68" s="168"/>
      <c r="I68" s="169"/>
      <c r="J68"/>
      <c r="K68" s="172" t="s">
        <v>44</v>
      </c>
      <c r="L68" s="173"/>
      <c r="M68" s="174"/>
    </row>
    <row r="69" spans="1:18" ht="12.75">
      <c r="A69" t="s">
        <v>45</v>
      </c>
      <c r="F69" s="175"/>
      <c r="G69" s="176"/>
      <c r="I69" s="169">
        <f aca="true" t="shared" si="16" ref="I69:I89">$F$66*G69</f>
        <v>0</v>
      </c>
      <c r="J69"/>
      <c r="K69" s="177">
        <v>94000</v>
      </c>
      <c r="L69" s="178" t="s">
        <v>46</v>
      </c>
      <c r="M69" s="179"/>
      <c r="Q69" s="180"/>
      <c r="R69" s="180"/>
    </row>
    <row r="70" spans="1:18" ht="12.75">
      <c r="A70" s="181">
        <v>1</v>
      </c>
      <c r="B70" s="182" t="s">
        <v>47</v>
      </c>
      <c r="C70" s="183"/>
      <c r="D70" s="183"/>
      <c r="E70" s="184"/>
      <c r="F70" s="175"/>
      <c r="G70" s="176"/>
      <c r="I70" s="169">
        <f t="shared" si="16"/>
        <v>0</v>
      </c>
      <c r="J70"/>
      <c r="K70" s="177">
        <v>125000</v>
      </c>
      <c r="L70" s="178" t="s">
        <v>48</v>
      </c>
      <c r="M70" s="179"/>
      <c r="Q70" s="180"/>
      <c r="R70" s="180"/>
    </row>
    <row r="71" spans="1:13" ht="12.75">
      <c r="A71" s="185">
        <v>2</v>
      </c>
      <c r="B71" s="186" t="s">
        <v>49</v>
      </c>
      <c r="C71" s="187"/>
      <c r="D71" s="187"/>
      <c r="E71" s="188"/>
      <c r="F71" s="175"/>
      <c r="G71" s="176"/>
      <c r="I71" s="169">
        <f t="shared" si="16"/>
        <v>0</v>
      </c>
      <c r="J71"/>
      <c r="K71" s="189">
        <v>178000</v>
      </c>
      <c r="L71" s="190" t="s">
        <v>50</v>
      </c>
      <c r="M71" s="191"/>
    </row>
    <row r="72" spans="1:13" ht="12.75">
      <c r="A72" s="192">
        <v>3</v>
      </c>
      <c r="B72" s="193" t="s">
        <v>51</v>
      </c>
      <c r="C72" s="194"/>
      <c r="D72" s="194"/>
      <c r="E72" s="195"/>
      <c r="F72" s="175"/>
      <c r="G72" s="176"/>
      <c r="I72" s="169">
        <f t="shared" si="16"/>
        <v>0</v>
      </c>
      <c r="J72"/>
      <c r="M72" s="196" t="s">
        <v>52</v>
      </c>
    </row>
    <row r="73" spans="1:10" ht="12.75">
      <c r="A73" s="197">
        <v>4</v>
      </c>
      <c r="B73" s="198" t="s">
        <v>53</v>
      </c>
      <c r="C73" s="199"/>
      <c r="D73" s="199"/>
      <c r="E73" s="200"/>
      <c r="F73" s="175"/>
      <c r="G73" s="176"/>
      <c r="I73" s="169">
        <f t="shared" si="16"/>
        <v>0</v>
      </c>
      <c r="J73"/>
    </row>
    <row r="74" spans="1:11" ht="12.75">
      <c r="A74" s="201"/>
      <c r="B74" s="202" t="s">
        <v>54</v>
      </c>
      <c r="C74" s="203"/>
      <c r="D74" s="203"/>
      <c r="E74" s="204"/>
      <c r="F74" s="175"/>
      <c r="G74" s="176"/>
      <c r="I74" s="169">
        <f t="shared" si="16"/>
        <v>0</v>
      </c>
      <c r="J74"/>
      <c r="K74" s="171"/>
    </row>
    <row r="75" spans="1:11" ht="12.75">
      <c r="A75" s="205">
        <v>5</v>
      </c>
      <c r="B75" s="206" t="s">
        <v>55</v>
      </c>
      <c r="C75" s="206"/>
      <c r="D75" s="206"/>
      <c r="E75" s="207"/>
      <c r="F75" s="175"/>
      <c r="G75" s="176"/>
      <c r="I75" s="169">
        <f t="shared" si="16"/>
        <v>0</v>
      </c>
      <c r="J75"/>
      <c r="K75" s="208"/>
    </row>
    <row r="76" spans="1:11" ht="12.75">
      <c r="A76" s="209">
        <v>6</v>
      </c>
      <c r="B76" s="210" t="s">
        <v>56</v>
      </c>
      <c r="C76" s="210"/>
      <c r="D76" s="210"/>
      <c r="E76" s="211"/>
      <c r="F76" s="175"/>
      <c r="G76" s="176"/>
      <c r="I76" s="169">
        <f t="shared" si="16"/>
        <v>0</v>
      </c>
      <c r="J76"/>
      <c r="K76" s="208"/>
    </row>
    <row r="77" spans="6:11" ht="12.75">
      <c r="F77" s="175"/>
      <c r="G77" s="176"/>
      <c r="I77" s="169">
        <f t="shared" si="16"/>
        <v>0</v>
      </c>
      <c r="J77"/>
      <c r="K77" s="208"/>
    </row>
    <row r="78" spans="6:11" ht="12.75">
      <c r="F78" s="175"/>
      <c r="G78" s="176"/>
      <c r="I78" s="169">
        <f t="shared" si="16"/>
        <v>0</v>
      </c>
      <c r="J78"/>
      <c r="K78" s="208"/>
    </row>
    <row r="79" spans="6:11" ht="12.75">
      <c r="F79" s="175"/>
      <c r="G79" s="176"/>
      <c r="I79" s="169">
        <f t="shared" si="16"/>
        <v>0</v>
      </c>
      <c r="J79"/>
      <c r="K79" s="208"/>
    </row>
    <row r="80" spans="6:10" ht="12.75">
      <c r="F80" s="212"/>
      <c r="G80" s="213">
        <v>0.05</v>
      </c>
      <c r="I80" s="169">
        <f t="shared" si="16"/>
        <v>9150</v>
      </c>
      <c r="J80"/>
    </row>
    <row r="81" spans="2:10" ht="12.75">
      <c r="B81" s="234" t="s">
        <v>57</v>
      </c>
      <c r="C81" s="235"/>
      <c r="D81" s="235"/>
      <c r="E81" s="236"/>
      <c r="F81" s="212"/>
      <c r="G81" s="213">
        <v>0.05</v>
      </c>
      <c r="I81" s="169">
        <f t="shared" si="16"/>
        <v>9150</v>
      </c>
      <c r="J81"/>
    </row>
    <row r="82" spans="2:15" ht="12.75">
      <c r="B82" s="237"/>
      <c r="C82" s="238"/>
      <c r="D82" s="238"/>
      <c r="E82" s="239"/>
      <c r="F82" s="212"/>
      <c r="G82" s="213"/>
      <c r="I82" s="169">
        <f t="shared" si="16"/>
        <v>0</v>
      </c>
      <c r="J82"/>
      <c r="K82" t="s">
        <v>58</v>
      </c>
      <c r="O82" t="s">
        <v>59</v>
      </c>
    </row>
    <row r="83" spans="2:18" ht="12.75">
      <c r="B83" s="237"/>
      <c r="C83" s="238"/>
      <c r="D83" s="238"/>
      <c r="E83" s="239"/>
      <c r="F83" s="212"/>
      <c r="G83" s="213"/>
      <c r="I83" s="169">
        <f t="shared" si="16"/>
        <v>0</v>
      </c>
      <c r="J83"/>
      <c r="K83" s="172" t="s">
        <v>60</v>
      </c>
      <c r="L83" s="214">
        <f>I66</f>
        <v>178000</v>
      </c>
      <c r="M83" s="173"/>
      <c r="N83" s="174"/>
      <c r="O83" s="215">
        <f>MAX(0,L85/F66)</f>
        <v>0.9726775956284153</v>
      </c>
      <c r="P83" s="216" t="s">
        <v>61</v>
      </c>
      <c r="Q83" s="1">
        <f>SUM(G69:G87)+O83</f>
        <v>1.0726775956284154</v>
      </c>
      <c r="R83" s="1"/>
    </row>
    <row r="84" spans="2:18" ht="12.75">
      <c r="B84" s="240"/>
      <c r="C84" s="241"/>
      <c r="D84" s="241"/>
      <c r="E84" s="242"/>
      <c r="F84" s="212"/>
      <c r="G84" s="213"/>
      <c r="I84" s="169">
        <f t="shared" si="16"/>
        <v>0</v>
      </c>
      <c r="J84"/>
      <c r="K84" s="217" t="s">
        <v>62</v>
      </c>
      <c r="L84" s="218">
        <f>SUM(I69:I79)</f>
        <v>0</v>
      </c>
      <c r="M84" s="178"/>
      <c r="N84" s="179"/>
      <c r="O84" s="215">
        <f>MAX(0,100%-Q83)</f>
        <v>0</v>
      </c>
      <c r="P84" s="216" t="s">
        <v>63</v>
      </c>
      <c r="Q84" s="1">
        <f>IF(Q83&gt;100%,100%-Q83)</f>
        <v>-0.07267759562841536</v>
      </c>
      <c r="R84" s="1"/>
    </row>
    <row r="85" spans="6:14" ht="12.75">
      <c r="F85" s="212"/>
      <c r="G85" s="213"/>
      <c r="I85" s="169">
        <f t="shared" si="16"/>
        <v>0</v>
      </c>
      <c r="J85"/>
      <c r="K85" s="219"/>
      <c r="L85" s="220">
        <f>L83-L84</f>
        <v>178000</v>
      </c>
      <c r="M85" s="190" t="s">
        <v>64</v>
      </c>
      <c r="N85" s="191"/>
    </row>
    <row r="86" spans="6:14" ht="12.75">
      <c r="F86" s="212"/>
      <c r="G86" s="213"/>
      <c r="I86" s="169">
        <f t="shared" si="16"/>
        <v>0</v>
      </c>
      <c r="J86"/>
      <c r="K86" s="221" t="s">
        <v>65</v>
      </c>
      <c r="L86" s="173"/>
      <c r="M86" s="173"/>
      <c r="N86" s="174"/>
    </row>
    <row r="87" spans="6:14" ht="12.75">
      <c r="F87" s="212"/>
      <c r="G87" s="213"/>
      <c r="I87" s="169">
        <f t="shared" si="16"/>
        <v>0</v>
      </c>
      <c r="J87"/>
      <c r="K87" s="219"/>
      <c r="L87" s="222">
        <f>MAX(0,F66-SUM(I69:I88))</f>
        <v>0</v>
      </c>
      <c r="M87" s="190" t="s">
        <v>66</v>
      </c>
      <c r="N87" s="191"/>
    </row>
    <row r="88" spans="6:10" ht="13.5" thickBot="1">
      <c r="F88" s="223">
        <v>112000</v>
      </c>
      <c r="G88" s="224">
        <f>ROUND(SUM(O83+Q84),4)</f>
        <v>0.9</v>
      </c>
      <c r="I88" s="169">
        <f t="shared" si="16"/>
        <v>164700</v>
      </c>
      <c r="J88"/>
    </row>
    <row r="89" spans="6:11" ht="12.75">
      <c r="F89" s="223">
        <v>114000</v>
      </c>
      <c r="G89" s="224">
        <f>ROUND(O84,4)</f>
        <v>0</v>
      </c>
      <c r="I89" s="169">
        <f t="shared" si="16"/>
        <v>0</v>
      </c>
      <c r="J89" s="233" t="str">
        <f>IF(SUM(G80:G87)&lt;G89,"","Warning: ")</f>
        <v xml:space="preserve">Warning: </v>
      </c>
      <c r="K89" s="98" t="str">
        <f>IF(SUM(G80:G87)&lt;G89,"","Verify 114000 amount with K Wood; cost share greater than MCI component ")</f>
        <v xml:space="preserve">Verify 114000 amount with K Wood; cost share greater than MCI component </v>
      </c>
    </row>
    <row r="90" spans="9:10" ht="12.75">
      <c r="I90" s="169"/>
      <c r="J90"/>
    </row>
    <row r="91" spans="2:10" ht="12.75">
      <c r="B91" s="225" t="s">
        <v>67</v>
      </c>
      <c r="G91" s="226">
        <f>SUM(G69:G89)</f>
        <v>1</v>
      </c>
      <c r="I91" s="227">
        <f>SUM(I69:I89)</f>
        <v>183000</v>
      </c>
      <c r="J91"/>
    </row>
  </sheetData>
  <sheetProtection algorithmName="SHA-512" hashValue="uRdwyMXvUE2sGZMRK9M0k2lQgRKSPhFLHlRAFu+z7hiohAifbjlFNJB4tvZZie3LjY+RasgZ4r3KOX+ZRDtz+Q==" saltValue="VkmasrFZESjb+MQjhvj3Dg==" spinCount="100000" sheet="1" selectLockedCells="1"/>
  <mergeCells count="1">
    <mergeCell ref="B81:E84"/>
  </mergeCells>
  <conditionalFormatting sqref="G91">
    <cfRule type="cellIs" priority="1" dxfId="0" operator="greaterThan">
      <formula>1</formula>
    </cfRule>
  </conditionalFormatting>
  <conditionalFormatting sqref="H91">
    <cfRule type="cellIs" priority="2" dxfId="0" operator="greaterThan">
      <formula>1</formula>
    </cfRule>
  </conditionalFormatting>
  <dataValidations count="3">
    <dataValidation type="list" operator="equal" allowBlank="1" showInputMessage="1" showErrorMessage="1" sqref="D12">
      <formula1>"2007,2008,2009,2010,2011,2012,2013,2014,2015"</formula1>
    </dataValidation>
    <dataValidation type="list" operator="equal" allowBlank="1" showInputMessage="1" showErrorMessage="1" sqref="B12">
      <formula1>"2007,2008,2009,2010,2011,2012,2013,2014,2015,2016,2017,2018,2019,2020,2021,2022,2023,2024"</formula1>
    </dataValidation>
    <dataValidation type="list" showInputMessage="1" showErrorMessage="1" promptTitle="Threshold" prompt="Using chart to the right, please select the correct threshold. " sqref="I66">
      <formula1>$K$69:$K$71</formula1>
    </dataValidation>
  </dataValidations>
  <printOptions/>
  <pageMargins left="0" right="0" top="0" bottom="0" header="0" footer="0"/>
  <pageSetup fitToHeight="1" fitToWidth="1" horizontalDpi="300" verticalDpi="300" orientation="portrait" scale="65" r:id="rId3"/>
  <rowBreaks count="1" manualBreakCount="1">
    <brk id="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 topLeftCell="A1">
      <selection activeCell="B19" sqref="B19"/>
    </sheetView>
  </sheetViews>
  <sheetFormatPr defaultColWidth="9.140625" defaultRowHeight="12.75"/>
  <cols>
    <col min="1" max="1" width="18.28125" style="39" customWidth="1"/>
    <col min="2" max="2" width="17.8515625" style="39" customWidth="1"/>
  </cols>
  <sheetData>
    <row r="1" spans="1:2" ht="12.75">
      <c r="A1" s="40" t="s">
        <v>14</v>
      </c>
      <c r="B1" s="40" t="s">
        <v>15</v>
      </c>
    </row>
    <row r="2" spans="1:2" ht="12.75">
      <c r="A2" s="39">
        <v>0</v>
      </c>
      <c r="B2" s="39" t="s">
        <v>16</v>
      </c>
    </row>
    <row r="3" spans="1:2" ht="12.75">
      <c r="A3" s="39">
        <v>2007</v>
      </c>
      <c r="B3" s="39">
        <v>186600</v>
      </c>
    </row>
    <row r="4" spans="1:2" ht="12.75">
      <c r="A4" s="39">
        <v>2008</v>
      </c>
      <c r="B4" s="39">
        <v>191300</v>
      </c>
    </row>
    <row r="5" spans="1:2" ht="12.75">
      <c r="A5" s="39">
        <v>2009</v>
      </c>
      <c r="B5" s="39">
        <v>196700</v>
      </c>
    </row>
    <row r="6" spans="1:2" ht="12.75">
      <c r="A6" s="39">
        <v>2010</v>
      </c>
      <c r="B6" s="39">
        <v>199700</v>
      </c>
    </row>
    <row r="7" spans="1:2" ht="12.75">
      <c r="A7" s="39">
        <v>2011</v>
      </c>
      <c r="B7" s="39">
        <v>199700</v>
      </c>
    </row>
    <row r="8" spans="1:2" ht="12.75">
      <c r="A8" s="39">
        <v>2012</v>
      </c>
      <c r="B8" s="39">
        <v>179700</v>
      </c>
    </row>
    <row r="9" spans="1:3" ht="12.75">
      <c r="A9" s="39">
        <v>2013</v>
      </c>
      <c r="B9" s="39">
        <v>179700</v>
      </c>
      <c r="C9" s="134" t="s">
        <v>32</v>
      </c>
    </row>
    <row r="10" spans="1:3" ht="12.75">
      <c r="A10" s="39">
        <v>2014</v>
      </c>
      <c r="B10" s="39">
        <v>181500</v>
      </c>
      <c r="C10" s="135" t="s">
        <v>33</v>
      </c>
    </row>
    <row r="11" spans="1:3" ht="12.75">
      <c r="A11" s="39">
        <v>2015</v>
      </c>
      <c r="B11" s="39">
        <v>183300</v>
      </c>
      <c r="C11" s="134" t="s">
        <v>34</v>
      </c>
    </row>
    <row r="12" spans="1:3" ht="12.75">
      <c r="A12" s="39">
        <v>2016</v>
      </c>
      <c r="B12" s="39">
        <v>185100</v>
      </c>
      <c r="C12" s="134" t="s">
        <v>35</v>
      </c>
    </row>
    <row r="13" spans="1:3" ht="12.75">
      <c r="A13" s="39">
        <v>2017</v>
      </c>
      <c r="B13" s="39">
        <v>187000</v>
      </c>
      <c r="C13" s="134" t="s">
        <v>36</v>
      </c>
    </row>
    <row r="14" spans="1:3" ht="12.75">
      <c r="A14" s="39">
        <v>2018</v>
      </c>
      <c r="B14" s="39">
        <v>189600</v>
      </c>
      <c r="C14" s="147" t="s">
        <v>37</v>
      </c>
    </row>
    <row r="15" spans="1:3" ht="12.75">
      <c r="A15" s="39">
        <v>2019</v>
      </c>
      <c r="B15" s="39">
        <v>192300</v>
      </c>
      <c r="C15" s="147" t="s">
        <v>38</v>
      </c>
    </row>
    <row r="16" spans="1:3" ht="12.75">
      <c r="A16" s="39">
        <v>2020</v>
      </c>
      <c r="B16" s="39">
        <v>197300</v>
      </c>
      <c r="C16" s="147" t="s">
        <v>39</v>
      </c>
    </row>
    <row r="17" spans="1:3" ht="12.75">
      <c r="A17" s="39">
        <v>2021</v>
      </c>
      <c r="B17" s="39">
        <v>199300</v>
      </c>
      <c r="C17" s="167" t="s">
        <v>41</v>
      </c>
    </row>
    <row r="18" spans="1:3" ht="12.75">
      <c r="A18" s="39">
        <v>2022</v>
      </c>
      <c r="B18" s="39">
        <v>203700</v>
      </c>
      <c r="C18" s="167" t="s">
        <v>40</v>
      </c>
    </row>
    <row r="19" spans="1:3" ht="12.75">
      <c r="A19" s="39">
        <v>2023</v>
      </c>
      <c r="B19" s="39">
        <v>212100</v>
      </c>
      <c r="C19" s="230" t="s">
        <v>70</v>
      </c>
    </row>
    <row r="20" spans="1:3" ht="12.75">
      <c r="A20" s="39">
        <v>2024</v>
      </c>
      <c r="B20" s="39">
        <v>221900</v>
      </c>
      <c r="C20" s="230" t="s">
        <v>71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Durick</dc:creator>
  <cp:keywords/>
  <dc:description/>
  <cp:lastModifiedBy>jaflowers</cp:lastModifiedBy>
  <cp:lastPrinted>2022-09-21T14:50:13Z</cp:lastPrinted>
  <dcterms:created xsi:type="dcterms:W3CDTF">2010-04-10T03:34:44Z</dcterms:created>
  <dcterms:modified xsi:type="dcterms:W3CDTF">2024-01-16T20:25:58Z</dcterms:modified>
  <cp:category/>
  <cp:version/>
  <cp:contentType/>
  <cp:contentStatus/>
</cp:coreProperties>
</file>